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Markéta\OF\Pověření vedení OF\Rozpočet 2024\Schválený rozpočet\"/>
    </mc:Choice>
  </mc:AlternateContent>
  <xr:revisionPtr revIDLastSave="0" documentId="13_ncr:1_{4D2C94ED-1A36-41AA-A5DC-73B143F0C9FC}" xr6:coauthVersionLast="47" xr6:coauthVersionMax="47" xr10:uidLastSave="{00000000-0000-0000-0000-000000000000}"/>
  <bookViews>
    <workbookView xWindow="-120" yWindow="-120" windowWidth="29040" windowHeight="15840" activeTab="1" xr2:uid="{00000000-000D-0000-FFFF-FFFF00000000}"/>
  </bookViews>
  <sheets>
    <sheet name="I. Rozpočtové příjmy" sheetId="1" r:id="rId1"/>
    <sheet name="II. Rozpočtové výdaje" sheetId="2" r:id="rId2"/>
    <sheet name="III. Stavy bankovních účtů" sheetId="13" r:id="rId3"/>
    <sheet name="IV. Rezerva" sheetId="14" r:id="rId4"/>
    <sheet name="V. Stavy úvěrových účtů" sheetId="15" r:id="rId5"/>
  </sheets>
  <calcPr calcId="181029"/>
</workbook>
</file>

<file path=xl/calcChain.xml><?xml version="1.0" encoding="utf-8"?>
<calcChain xmlns="http://schemas.openxmlformats.org/spreadsheetml/2006/main">
  <c r="D18" i="14" l="1"/>
  <c r="G91" i="2"/>
  <c r="G88" i="1"/>
  <c r="G39" i="2" l="1"/>
  <c r="G5" i="2"/>
  <c r="G173" i="2"/>
  <c r="G67" i="1" l="1"/>
  <c r="G73" i="2" l="1"/>
  <c r="G135" i="2"/>
  <c r="G4" i="2"/>
  <c r="G285" i="2"/>
  <c r="G80" i="2"/>
  <c r="G22" i="1" l="1"/>
  <c r="G31" i="2" l="1"/>
  <c r="G145" i="2"/>
  <c r="G133" i="2"/>
  <c r="G121" i="2"/>
  <c r="G119" i="2"/>
  <c r="G84" i="2"/>
  <c r="G41" i="2"/>
  <c r="G29" i="2"/>
  <c r="G27" i="2"/>
  <c r="G20" i="2"/>
  <c r="G237" i="2"/>
  <c r="G90" i="2" l="1"/>
  <c r="G28" i="2"/>
  <c r="G251" i="2" l="1"/>
  <c r="G250" i="2"/>
  <c r="G200" i="2"/>
  <c r="G199" i="2"/>
  <c r="G183" i="2"/>
  <c r="G182" i="2"/>
  <c r="G125" i="2"/>
  <c r="G124" i="2"/>
  <c r="G112" i="2"/>
  <c r="G111" i="2"/>
  <c r="G96" i="2"/>
  <c r="G95" i="2"/>
  <c r="G93" i="2" s="1"/>
  <c r="G65" i="2"/>
  <c r="G64" i="2"/>
  <c r="G47" i="2"/>
  <c r="G46" i="2"/>
  <c r="G266" i="2" l="1"/>
  <c r="G249" i="2"/>
  <c r="G32" i="1"/>
  <c r="G50" i="1" l="1"/>
  <c r="G220" i="2"/>
  <c r="G158" i="2" l="1"/>
  <c r="G155" i="2" l="1"/>
  <c r="G15" i="2" l="1"/>
  <c r="G85" i="2"/>
  <c r="G79" i="2" l="1"/>
  <c r="G74" i="2"/>
  <c r="G165" i="2"/>
  <c r="G233" i="2"/>
  <c r="G293" i="2"/>
  <c r="G179" i="2"/>
  <c r="G146" i="2"/>
  <c r="G144" i="2"/>
  <c r="G132" i="2" l="1"/>
  <c r="G24" i="2"/>
  <c r="G21" i="2"/>
  <c r="G16" i="2"/>
  <c r="G12" i="2"/>
  <c r="G136" i="2"/>
  <c r="G108" i="2" l="1"/>
  <c r="G122" i="2"/>
  <c r="G2" i="2" l="1"/>
  <c r="G6" i="2"/>
  <c r="G43" i="2"/>
  <c r="G256" i="2"/>
  <c r="G287" i="2"/>
  <c r="G257" i="2"/>
  <c r="G86" i="2"/>
  <c r="G81" i="2" s="1"/>
  <c r="G32" i="2"/>
  <c r="G175" i="2" l="1"/>
  <c r="G174" i="2" s="1"/>
  <c r="G171" i="2"/>
  <c r="G167" i="2" s="1"/>
  <c r="G161" i="2"/>
  <c r="G153" i="2"/>
  <c r="E97" i="1"/>
  <c r="D97" i="1"/>
  <c r="G296" i="2"/>
  <c r="G196" i="2"/>
  <c r="G194" i="2"/>
  <c r="G176" i="2"/>
  <c r="G138" i="2"/>
  <c r="G103" i="2"/>
  <c r="G68" i="2"/>
  <c r="G62" i="2"/>
  <c r="G40" i="2"/>
  <c r="F301" i="2"/>
  <c r="G71" i="1"/>
  <c r="G70" i="1" s="1"/>
  <c r="G66" i="1"/>
  <c r="G56" i="1"/>
  <c r="G55" i="1" s="1"/>
  <c r="G53" i="1"/>
  <c r="G52" i="1" s="1"/>
  <c r="G30" i="1"/>
  <c r="G35" i="1"/>
  <c r="G81" i="1"/>
  <c r="G77" i="1"/>
  <c r="G74" i="1"/>
  <c r="G60" i="1"/>
  <c r="G58" i="1"/>
  <c r="G47" i="1"/>
  <c r="G45" i="1"/>
  <c r="G42" i="1"/>
  <c r="G39" i="1"/>
  <c r="G23" i="1"/>
  <c r="G19" i="1"/>
  <c r="G64" i="1" l="1"/>
  <c r="G94" i="1"/>
  <c r="G97" i="1" s="1"/>
  <c r="C11" i="13"/>
  <c r="F94" i="1" l="1"/>
  <c r="F97" i="1" s="1"/>
  <c r="D4" i="15"/>
  <c r="C4" i="15"/>
  <c r="D11" i="14"/>
  <c r="D10" i="14"/>
  <c r="D9" i="14"/>
  <c r="D8" i="14"/>
  <c r="D7" i="14"/>
  <c r="D6" i="14"/>
  <c r="D5" i="14"/>
  <c r="E4" i="14"/>
  <c r="D4" i="14"/>
  <c r="D12" i="14" l="1"/>
  <c r="D30" i="14"/>
  <c r="G247" i="2" l="1"/>
  <c r="G301" i="2" s="1"/>
  <c r="G303" i="2" s="1"/>
  <c r="G286" i="2"/>
</calcChain>
</file>

<file path=xl/sharedStrings.xml><?xml version="1.0" encoding="utf-8"?>
<sst xmlns="http://schemas.openxmlformats.org/spreadsheetml/2006/main" count="1203" uniqueCount="490">
  <si>
    <t xml:space="preserve">Paragraf                 </t>
  </si>
  <si>
    <t xml:space="preserve">Položka                  </t>
  </si>
  <si>
    <t xml:space="preserve">Název                                                                                                                   </t>
  </si>
  <si>
    <t>Schválený rozpočet</t>
  </si>
  <si>
    <t/>
  </si>
  <si>
    <t>1032</t>
  </si>
  <si>
    <t>Podpora ostatních produkčních činností</t>
  </si>
  <si>
    <t>2111</t>
  </si>
  <si>
    <t>Příjem z poskytování služeb, výrobků, prací, výkonů a práv</t>
  </si>
  <si>
    <t>1111</t>
  </si>
  <si>
    <t>Příjem z daně z příjmů fyzických osob placené plátci</t>
  </si>
  <si>
    <t>1112</t>
  </si>
  <si>
    <t>Příjem z daně z příjmů fyzických osob placené poplatníky</t>
  </si>
  <si>
    <t>1113</t>
  </si>
  <si>
    <t>Příjem z daně z příjmů fyzických osob vybírané srážkou podle zvláštní sazby daně</t>
  </si>
  <si>
    <t>1121</t>
  </si>
  <si>
    <t>Příjem z daně z příjmů právnických osob</t>
  </si>
  <si>
    <t>1122</t>
  </si>
  <si>
    <t>Příjem z daně z příjmů právnických osob v případech, kdy poplatníkem je obec, s výjimkou daně vybírané srážkou podle zvláštní sazby daně</t>
  </si>
  <si>
    <t>1211</t>
  </si>
  <si>
    <t>Příjem z daně z přidané hodnoty</t>
  </si>
  <si>
    <t>1334</t>
  </si>
  <si>
    <t>Příjem z odvodů za odnětí půdy ze zemědělského půdního fondu podle zákona upravujícího ochranu zemědělského půdního fondu</t>
  </si>
  <si>
    <t>1341</t>
  </si>
  <si>
    <t>Příjem z poplatku ze psů</t>
  </si>
  <si>
    <t>1342</t>
  </si>
  <si>
    <t>Příjem z poplatku z pobytu</t>
  </si>
  <si>
    <t>1343</t>
  </si>
  <si>
    <t>Příjem z poplatku za užívání veřejného prostranství</t>
  </si>
  <si>
    <t>1345</t>
  </si>
  <si>
    <t>Příjem z poplatku za obecní systém odpadového hospodářství a příjem z poplatku za odkládání komunálního odpadu z nemovité věci</t>
  </si>
  <si>
    <t>1361</t>
  </si>
  <si>
    <t>Příjem ze správních poplatků</t>
  </si>
  <si>
    <t>1381</t>
  </si>
  <si>
    <t>Příjem z daně z hazardních her s výjimkou dílčí daně z technických her</t>
  </si>
  <si>
    <t>1511</t>
  </si>
  <si>
    <t>Příjem z daně z nemovitých věcí</t>
  </si>
  <si>
    <t>2212</t>
  </si>
  <si>
    <t>Silnice</t>
  </si>
  <si>
    <t>2321</t>
  </si>
  <si>
    <t>Přijaté peněžité neinvestiční dary</t>
  </si>
  <si>
    <t>2324</t>
  </si>
  <si>
    <t>Přijaté neinvestiční příspěvky a náhrady</t>
  </si>
  <si>
    <t>2221</t>
  </si>
  <si>
    <t>Provoz veřejné silniční dopravy</t>
  </si>
  <si>
    <t>2310</t>
  </si>
  <si>
    <t>Pitná voda</t>
  </si>
  <si>
    <t>2132</t>
  </si>
  <si>
    <t>Příjem z pronájmu nebo pachtu ostatních nemovitých věcí a jejich částí</t>
  </si>
  <si>
    <t>Odvádění a čištění odpadních vod a nakládání s kaly</t>
  </si>
  <si>
    <t>2329</t>
  </si>
  <si>
    <t>Odvádění a čištění odpadních vod jinde nezařazené</t>
  </si>
  <si>
    <t>3111</t>
  </si>
  <si>
    <t>Mateřské školy</t>
  </si>
  <si>
    <t>3314</t>
  </si>
  <si>
    <t>Činnosti knihovnické</t>
  </si>
  <si>
    <t>2119</t>
  </si>
  <si>
    <t>Ostatní příjmy z vlastní činnosti</t>
  </si>
  <si>
    <t>3322</t>
  </si>
  <si>
    <t>Zachování a obnova kulturních památek</t>
  </si>
  <si>
    <t>2112</t>
  </si>
  <si>
    <t>Příjem z prodeje zboží (již nakoupeného za účelem prodeje)</t>
  </si>
  <si>
    <t>3349</t>
  </si>
  <si>
    <t>Ostatní záležitosti sdělovacích prostředků</t>
  </si>
  <si>
    <t>3399</t>
  </si>
  <si>
    <t>Ostatní záležitosti kultury, církví a sdělovacích prostředků</t>
  </si>
  <si>
    <t>3421</t>
  </si>
  <si>
    <t>Využití volného času dětí a mládeže</t>
  </si>
  <si>
    <t>3612</t>
  </si>
  <si>
    <t>Bytové hospodářství</t>
  </si>
  <si>
    <t>3613</t>
  </si>
  <si>
    <t>Nebytové hospodářství</t>
  </si>
  <si>
    <t>3631</t>
  </si>
  <si>
    <t>Veřejné osvětlení</t>
  </si>
  <si>
    <t>3632</t>
  </si>
  <si>
    <t>Pohřebnictví</t>
  </si>
  <si>
    <t>3639</t>
  </si>
  <si>
    <t>Komunální služby a územní rozvoj jinde nezařazené</t>
  </si>
  <si>
    <t>2131</t>
  </si>
  <si>
    <t>Příjem z pronájmu nebo pachtu pozemků</t>
  </si>
  <si>
    <t>Příjem z prodeje pozemků</t>
  </si>
  <si>
    <t>3121</t>
  </si>
  <si>
    <t>Přijaté dary na pořízení dlouhodobého majetku</t>
  </si>
  <si>
    <t>3722</t>
  </si>
  <si>
    <t>Sběr a svoz komunálních odpadů</t>
  </si>
  <si>
    <t>3745</t>
  </si>
  <si>
    <t>Péče o vzhled obcí a veřejnou zeleň</t>
  </si>
  <si>
    <t>4111</t>
  </si>
  <si>
    <t>Neinvestiční přijaté transfery z všeobecné pokladní správy státního rozpočtu</t>
  </si>
  <si>
    <t>4112</t>
  </si>
  <si>
    <t>Neinvestiční přijaté transfery ze státního rozpočtu v rámci souhrnného dotačního vztahu</t>
  </si>
  <si>
    <t>4116</t>
  </si>
  <si>
    <t>Ostatní neinvestiční přijaté transfery ze státního rozpočtu</t>
  </si>
  <si>
    <t>4121</t>
  </si>
  <si>
    <t>Neinvestiční přijaté transfery od obcí</t>
  </si>
  <si>
    <t>4122</t>
  </si>
  <si>
    <t>Neinvestiční přijaté transfery od krajů</t>
  </si>
  <si>
    <t>4152</t>
  </si>
  <si>
    <t>Neinvestiční přijaté transfery od mezinárodních organizací a některých zahraničních orgánů a právnických osob</t>
  </si>
  <si>
    <t>4216</t>
  </si>
  <si>
    <t>Ostatní investiční přijaté transfery ze státního rozpočtu</t>
  </si>
  <si>
    <t>4351</t>
  </si>
  <si>
    <t>Osobní asistence, pečovatelská služba a podpora samostatného bydlení</t>
  </si>
  <si>
    <t>5311</t>
  </si>
  <si>
    <t>Bezpečnost a veřejný pořádek</t>
  </si>
  <si>
    <t>Příjem sankčních plateb přijatých od jiných osob</t>
  </si>
  <si>
    <t>5512</t>
  </si>
  <si>
    <t>Požární ochrana - dobrovolná část</t>
  </si>
  <si>
    <t>3113</t>
  </si>
  <si>
    <t>Příjem z prodeje ostatního hmotného dlouhodobého majetku</t>
  </si>
  <si>
    <t>6171</t>
  </si>
  <si>
    <t>Činnost místní správy</t>
  </si>
  <si>
    <t>2133</t>
  </si>
  <si>
    <t>Příjem z pronájmu nebo pachtu movitých věcí</t>
  </si>
  <si>
    <t>6310</t>
  </si>
  <si>
    <t>Obecné příjmy a výdaje z finančních operací</t>
  </si>
  <si>
    <t>2141</t>
  </si>
  <si>
    <t>Příjem z úroků</t>
  </si>
  <si>
    <t>6402</t>
  </si>
  <si>
    <t>Finanční vypořádání</t>
  </si>
  <si>
    <t>2223</t>
  </si>
  <si>
    <t>Příjem z finančního vypořádání mezi kraji, obcemi a dobrovolnými svazky obcí</t>
  </si>
  <si>
    <t>5154</t>
  </si>
  <si>
    <t>Elektrická energie</t>
  </si>
  <si>
    <t>5171</t>
  </si>
  <si>
    <t>Opravy a udržování</t>
  </si>
  <si>
    <t>6121</t>
  </si>
  <si>
    <t>Stavby</t>
  </si>
  <si>
    <t>5323</t>
  </si>
  <si>
    <t>Neinvestiční transfery krajům</t>
  </si>
  <si>
    <t>Bezpečnost silničního provozu</t>
  </si>
  <si>
    <t>5139</t>
  </si>
  <si>
    <t>Nákup materiálu jinde nezařazený</t>
  </si>
  <si>
    <t>5169</t>
  </si>
  <si>
    <t>Nákup ostatních služeb</t>
  </si>
  <si>
    <t>5192</t>
  </si>
  <si>
    <t>Poskytnuté náhrady</t>
  </si>
  <si>
    <t>5164</t>
  </si>
  <si>
    <t>Nájemné</t>
  </si>
  <si>
    <t>5331</t>
  </si>
  <si>
    <t>Neinvestiční příspěvky zřízeným příspěvkovým organizacím</t>
  </si>
  <si>
    <t>5336</t>
  </si>
  <si>
    <t>Neinvestiční transfery zřízeným příspěvkovým organizacím</t>
  </si>
  <si>
    <t>Základní školy</t>
  </si>
  <si>
    <t>3231</t>
  </si>
  <si>
    <t>Základní umělecké školy</t>
  </si>
  <si>
    <t>5011</t>
  </si>
  <si>
    <t>Platy zaměstnanců v pracovním poměru vyjma zaměstnanců na služebních místech</t>
  </si>
  <si>
    <t>5021</t>
  </si>
  <si>
    <t>Ostatní osobní výdaje</t>
  </si>
  <si>
    <t>5031</t>
  </si>
  <si>
    <t>Povinné pojistné na sociální zabezpečení a příspěvek na státní politiku zaměstnanosti</t>
  </si>
  <si>
    <t>5032</t>
  </si>
  <si>
    <t>Povinné pojistné na veřejné zdravotní pojištění</t>
  </si>
  <si>
    <t>5133</t>
  </si>
  <si>
    <t>Léky a zdravotnický materiál</t>
  </si>
  <si>
    <t>5136</t>
  </si>
  <si>
    <t>Knihy a obdobné listinné informační prostředky</t>
  </si>
  <si>
    <t>5137</t>
  </si>
  <si>
    <t>Drobný dlouhodobý hmotný majetek</t>
  </si>
  <si>
    <t>5151</t>
  </si>
  <si>
    <t>Studená voda včetně stočného a úplaty za odvod dešťových vod</t>
  </si>
  <si>
    <t>5153</t>
  </si>
  <si>
    <t>Plyn</t>
  </si>
  <si>
    <t>5161</t>
  </si>
  <si>
    <t>Poštovní služby</t>
  </si>
  <si>
    <t>5167</t>
  </si>
  <si>
    <t>Služby školení a vzdělávání</t>
  </si>
  <si>
    <t>5173</t>
  </si>
  <si>
    <t>Cestovné</t>
  </si>
  <si>
    <t>5175</t>
  </si>
  <si>
    <t>Pohoštění</t>
  </si>
  <si>
    <t>5181</t>
  </si>
  <si>
    <t>Převody vnitřním organizačním jednotkám</t>
  </si>
  <si>
    <t>Ostatní záležitosti kultury</t>
  </si>
  <si>
    <t>6122</t>
  </si>
  <si>
    <t>Stroje, přístroje a zařízení</t>
  </si>
  <si>
    <t>3392</t>
  </si>
  <si>
    <t>Zájmová činnost v kultuře</t>
  </si>
  <si>
    <t>5229</t>
  </si>
  <si>
    <t>Ostatní neinvestiční transfery neziskovým a podobným osobám</t>
  </si>
  <si>
    <t>5194</t>
  </si>
  <si>
    <t>Výdaje na věcné dary</t>
  </si>
  <si>
    <t>5223</t>
  </si>
  <si>
    <t>Neinvestiční transfery církvím a náboženským společnostem</t>
  </si>
  <si>
    <t>5339</t>
  </si>
  <si>
    <t>Neinvestiční transfery cizím příspěvkovým organizacím</t>
  </si>
  <si>
    <t>5492</t>
  </si>
  <si>
    <t>Dary fyzickým osobám</t>
  </si>
  <si>
    <t>3419</t>
  </si>
  <si>
    <t>Ostatní sportovní činnost</t>
  </si>
  <si>
    <t>5222</t>
  </si>
  <si>
    <t>Neinvestiční transfery spolkům</t>
  </si>
  <si>
    <t>3429</t>
  </si>
  <si>
    <t>Ostatní zájmová činnost a rekreace</t>
  </si>
  <si>
    <t>5909</t>
  </si>
  <si>
    <t>Ostatní neinvestiční výdaje jinde nezařazené</t>
  </si>
  <si>
    <t>5152</t>
  </si>
  <si>
    <t>Teplo</t>
  </si>
  <si>
    <t>3635</t>
  </si>
  <si>
    <t>Územní plánování</t>
  </si>
  <si>
    <t>6119</t>
  </si>
  <si>
    <t>Ostatní nákup dlouhodobého nehmotného majetku</t>
  </si>
  <si>
    <t>5166</t>
  </si>
  <si>
    <t>Konzultační, poradenské a právní služby</t>
  </si>
  <si>
    <t>6130</t>
  </si>
  <si>
    <t>Pozemky</t>
  </si>
  <si>
    <t>3721</t>
  </si>
  <si>
    <t>Sběr a svoz nebezpečných odpadů</t>
  </si>
  <si>
    <t>3741</t>
  </si>
  <si>
    <t>Ochrana druhů a stanovišť</t>
  </si>
  <si>
    <t>3744</t>
  </si>
  <si>
    <t>Protierozní, protilavinová a protipožární ochrana</t>
  </si>
  <si>
    <t>3799</t>
  </si>
  <si>
    <t>Ostatní ekologické záležitosti</t>
  </si>
  <si>
    <t>4341</t>
  </si>
  <si>
    <t>Sociální pomoc osobám v hmotné nouzi a občanům sociálně nepřizpůsobivým</t>
  </si>
  <si>
    <t>5132</t>
  </si>
  <si>
    <t>Ochranné pomůcky</t>
  </si>
  <si>
    <t>5156</t>
  </si>
  <si>
    <t>Pohonné hmoty a maziva</t>
  </si>
  <si>
    <t>5213</t>
  </si>
  <si>
    <t>Krizová opatření</t>
  </si>
  <si>
    <t>5903</t>
  </si>
  <si>
    <t>Rezerva na krizová opatření</t>
  </si>
  <si>
    <t>5162</t>
  </si>
  <si>
    <t>Služby elektronických komunikací</t>
  </si>
  <si>
    <t>5163</t>
  </si>
  <si>
    <t>Služby peněžních ústavů</t>
  </si>
  <si>
    <t>5361</t>
  </si>
  <si>
    <t>Nákup kolků</t>
  </si>
  <si>
    <t>5511</t>
  </si>
  <si>
    <t>Požární ochrana - profesionální část</t>
  </si>
  <si>
    <t>6123</t>
  </si>
  <si>
    <t>Dopravní prostředky</t>
  </si>
  <si>
    <t>6112</t>
  </si>
  <si>
    <t>Zastupitelstva obcí</t>
  </si>
  <si>
    <t>5023</t>
  </si>
  <si>
    <t>Odměny členů zastupitelstev obcí a krajů</t>
  </si>
  <si>
    <t>6118</t>
  </si>
  <si>
    <t>Volba prezidenta republiky</t>
  </si>
  <si>
    <t>5038</t>
  </si>
  <si>
    <t>Pojistné na zákonné pojištění odpovědnosti zaměstnavatele za škodu při pracovním úrazu nebo nemoci z povolání</t>
  </si>
  <si>
    <t>5138</t>
  </si>
  <si>
    <t>Nákup zboží za účelem dalšího prodeje</t>
  </si>
  <si>
    <t>5172</t>
  </si>
  <si>
    <t>Podlimitní programové vybavení</t>
  </si>
  <si>
    <t>5178</t>
  </si>
  <si>
    <t>Nájemné za nájem s právem koupě</t>
  </si>
  <si>
    <t>5179</t>
  </si>
  <si>
    <t>Ostatní nákupy jinde nezařazené</t>
  </si>
  <si>
    <t>5199</t>
  </si>
  <si>
    <t>Ostatní výdaje související s neinvestičními nákupy</t>
  </si>
  <si>
    <t>5225</t>
  </si>
  <si>
    <t>Neinvestiční transfery společenstvím vlastníků jednotek</t>
  </si>
  <si>
    <t>5329</t>
  </si>
  <si>
    <t>Ostatní neinvestiční transfery rozpočtům územní úrovně</t>
  </si>
  <si>
    <t>5362</t>
  </si>
  <si>
    <t>Platby daní státnímu rozpočtu</t>
  </si>
  <si>
    <t>5363</t>
  </si>
  <si>
    <t>Úhrady sankcí jiným rozpočtům</t>
  </si>
  <si>
    <t>5499</t>
  </si>
  <si>
    <t>Ostatní neinvestiční transfery fyzickým osobám</t>
  </si>
  <si>
    <t>5901</t>
  </si>
  <si>
    <t>Nespecifikované rezervy</t>
  </si>
  <si>
    <t>6111</t>
  </si>
  <si>
    <t>Programové vybavení</t>
  </si>
  <si>
    <t>6221</t>
  </si>
  <si>
    <t>Humanitární zahraniční pomoc přímá</t>
  </si>
  <si>
    <t>5141</t>
  </si>
  <si>
    <t>Úroky vlastní</t>
  </si>
  <si>
    <t>6399</t>
  </si>
  <si>
    <t>Ostatní finanční operace</t>
  </si>
  <si>
    <t>5365</t>
  </si>
  <si>
    <t>Platby daní krajům, obcím a státním fondům</t>
  </si>
  <si>
    <t>Upravený rozpočet k 30.9.2023</t>
  </si>
  <si>
    <t>Skutečnost k 30.9.2023</t>
  </si>
  <si>
    <t>Celkem</t>
  </si>
  <si>
    <t>Uhrazené splátky dlouhodobých přijatých prostředků</t>
  </si>
  <si>
    <t>Změna stavu krátkodobých prostředků na bankovních účtech</t>
  </si>
  <si>
    <t>celkem</t>
  </si>
  <si>
    <t>Účet</t>
  </si>
  <si>
    <t>Název účtu</t>
  </si>
  <si>
    <t>23110</t>
  </si>
  <si>
    <t>ZBÚ - 0388041369/0800</t>
  </si>
  <si>
    <t>23111</t>
  </si>
  <si>
    <t>MZDY - 6015-0388041369/0800</t>
  </si>
  <si>
    <t>23112</t>
  </si>
  <si>
    <t>Spořící - 1249-0388041369/0800</t>
  </si>
  <si>
    <t>23120</t>
  </si>
  <si>
    <t>Příjmový účet 19-0388041369/0800</t>
  </si>
  <si>
    <t>23121</t>
  </si>
  <si>
    <t>Dary účet 182-0388041369/0800</t>
  </si>
  <si>
    <t>23130</t>
  </si>
  <si>
    <t>POPLATKY účet 5607272339/0800</t>
  </si>
  <si>
    <t>23140</t>
  </si>
  <si>
    <t>Dary Ukrajina - 20183-388041369/0800</t>
  </si>
  <si>
    <t>23160</t>
  </si>
  <si>
    <t>Běžný účet- ČNB</t>
  </si>
  <si>
    <t>23190</t>
  </si>
  <si>
    <t>Běžný účet- byty/nebyty</t>
  </si>
  <si>
    <t>Položka</t>
  </si>
  <si>
    <t>Paragraf</t>
  </si>
  <si>
    <t>Kapitola</t>
  </si>
  <si>
    <t>Obnos schválený</t>
  </si>
  <si>
    <t>Obnos upravený</t>
  </si>
  <si>
    <t>Text k rozpočtové skladbě</t>
  </si>
  <si>
    <t>neadresná rezerva</t>
  </si>
  <si>
    <t>doprovodná infrastruktura průtah</t>
  </si>
  <si>
    <t>spoluúčast na úsporná opatření</t>
  </si>
  <si>
    <t>spoluúčast elektromobil PS (dotace 300)</t>
  </si>
  <si>
    <t>humanitární pomoc Ukrajina</t>
  </si>
  <si>
    <t>participace</t>
  </si>
  <si>
    <t>spoluúčast PD kanalizace Potoky alt. Zaorálkova, Třebízského</t>
  </si>
  <si>
    <t>spoluúčast forenzní značení kol</t>
  </si>
  <si>
    <t xml:space="preserve"> měsíční splátka jistiny</t>
  </si>
  <si>
    <t>45110</t>
  </si>
  <si>
    <t>Dlouhodobé úvěry - ZŠ Za Cihelnou</t>
  </si>
  <si>
    <t>45120</t>
  </si>
  <si>
    <t>Dlouhodobé úvěry - pozemky</t>
  </si>
  <si>
    <t>Převody vlastních fondů</t>
  </si>
  <si>
    <t>Převody vlastních fondů přes rok</t>
  </si>
  <si>
    <t>Návrh na rok 2024</t>
  </si>
  <si>
    <t>Poznámka</t>
  </si>
  <si>
    <t>příspěvek na státní správu (https://www.prispevekobce.cz/detail-2024/539627)</t>
  </si>
  <si>
    <t>x</t>
  </si>
  <si>
    <t>120 Únětice MP, 944 náklady na žáky Úholičky, 30 přestupky, 20 Požární ochrana Přílepy</t>
  </si>
  <si>
    <t>pečovatelská služba</t>
  </si>
  <si>
    <t>prodej dřeva</t>
  </si>
  <si>
    <t>navýšení vstupného na Levý hradec</t>
  </si>
  <si>
    <t>přívoz Slavnosti LP břeh</t>
  </si>
  <si>
    <t>pronájmy hrobových míst a kolumbárium</t>
  </si>
  <si>
    <t>pronájem márnice</t>
  </si>
  <si>
    <t>věcná břemena</t>
  </si>
  <si>
    <t>příjmy z úhrad za poskytnuté pečovatelských služeb</t>
  </si>
  <si>
    <t>příjem od klientů na úhradu obědů</t>
  </si>
  <si>
    <t>pokuty MP</t>
  </si>
  <si>
    <t>pacht 2024</t>
  </si>
  <si>
    <t>inflace 10%</t>
  </si>
  <si>
    <t>úklid 40, dohody, lekce, přednášky 40</t>
  </si>
  <si>
    <t>60 kopírka, 30 ntb katalogizace, 30 různé</t>
  </si>
  <si>
    <t>plynová kotelna i pro druhou budovu</t>
  </si>
  <si>
    <t>PF 20, TN 20, SKIP 1</t>
  </si>
  <si>
    <t>kronikářka</t>
  </si>
  <si>
    <t>2x Post Bellum</t>
  </si>
  <si>
    <t>dohody průvodci</t>
  </si>
  <si>
    <t>DPP úklid klubovny 3,5/měsíčně</t>
  </si>
  <si>
    <t>knihy, předplatné</t>
  </si>
  <si>
    <t>prostředky na úklid, vybavení klubovny</t>
  </si>
  <si>
    <t>internet 10, vzdělávací akce 45</t>
  </si>
  <si>
    <t>údržba hřbitova</t>
  </si>
  <si>
    <t>osvětlení hřbitova</t>
  </si>
  <si>
    <t>vyklízení hrobů 20, úhrada soc. pohřbů 40</t>
  </si>
  <si>
    <t>neplánované opravy a poškození hrobu kořeny stromu</t>
  </si>
  <si>
    <t>poskytování příspěvků jednotlivcům 542, doprava pro seniory 8</t>
  </si>
  <si>
    <t>3 pečovatelky, 1/2 řidič</t>
  </si>
  <si>
    <t>pračka, tlakoměr, vozík na mop, držák na mytí oken, žehlička</t>
  </si>
  <si>
    <t>čistící prostředky na úklid budovy</t>
  </si>
  <si>
    <t>školení pečovatelek (nová pečovatelka)</t>
  </si>
  <si>
    <t>revize sterilizátorů 2, úhrady za obědy 920, revize TV 5</t>
  </si>
  <si>
    <t>plat uklizečky</t>
  </si>
  <si>
    <t>10 strážníků</t>
  </si>
  <si>
    <t>vybavení 2 nových strážníků + částečná obnova výstroje</t>
  </si>
  <si>
    <t>1x školení odborné způsobilosti + školení 2 nových strážníků</t>
  </si>
  <si>
    <t>postupná rekonstrukce objektu</t>
  </si>
  <si>
    <t>rozšíření kamerového systému ve městě</t>
  </si>
  <si>
    <t>daň z příjmu</t>
  </si>
  <si>
    <t>DPH</t>
  </si>
  <si>
    <t>správci hřišť, sportovišť, vodních prvků, klidových zón, venkovní posilovna</t>
  </si>
  <si>
    <t>DH Zaorálkova houpací prvek, nové mlžítko a pítko DH Zaorálkova</t>
  </si>
  <si>
    <t>materiál na údržbu hřišť</t>
  </si>
  <si>
    <t>revize všech DH, klidových zón a sportovišť, DH</t>
  </si>
  <si>
    <t>opravy a údržba herních prvků</t>
  </si>
  <si>
    <t>navýšení za tunu o 11% + cena 450 Kč za tunu odvoz skládka Uhy</t>
  </si>
  <si>
    <t>odchyty, venčení, záchytný kotec - péče o zvířata</t>
  </si>
  <si>
    <t>krmiva, pomůcky, ochranný materiál a desinsekce zvířat</t>
  </si>
  <si>
    <t>dohody o údržbu zeleně, posouzení zdravotního stavu dřevin</t>
  </si>
  <si>
    <t>mobiliář</t>
  </si>
  <si>
    <t>nákup vaků, podpůrné pomůcky</t>
  </si>
  <si>
    <t>údržba zeleně 680, údržba DH 220, údržba záhonů 290, pasport zeleně 60, dosadba dřevin 160, osázení nádob a truhlíků 40, lesnictví 50, DPS závlahy 40, likvidace invazivních rostlin 60</t>
  </si>
  <si>
    <t>parky, zeleň u sportovišť, následná péče relaxační sad, alej Váha, Školní náměstí, Koláčov, Skalka, oprava altánu 60</t>
  </si>
  <si>
    <t>Neinvestiční příspěvky zřízeným příspěvkovým organizacím - MŠ Přemyslovská</t>
  </si>
  <si>
    <t>Neinvestiční příspěvky zřízeným příspěvkovým organizacím - MŠ Spěšného</t>
  </si>
  <si>
    <t>Neinvestiční příspěvky zřízeným příspěvkovým organizacím - MŠ Havlíčkova</t>
  </si>
  <si>
    <t>upomínkové předměty poslední třídy 35, diplomy a poukázky pro ZŠ 10, učitelé dary 25, 2x vítání 24, 3x jubilanti 18, zlaté svatby 8</t>
  </si>
  <si>
    <t>ochranné pomůcky SÚ</t>
  </si>
  <si>
    <t>úprava kuchyně OVSV, předělání skladu na kancelář</t>
  </si>
  <si>
    <t>doplnění propagačních předmětů 50, nové mapy 50</t>
  </si>
  <si>
    <t>skříně s nástavci EO + přestupky 25, kuch. linka OVSV, vybavení kanceláře skladu, token Ortex 5, nábytek podatelna + taj 120, lednice + myčka 20, 2x židle SÚ 10, fukar na listí aku 15, zahradní domek na nářadí správci 20, pokladna PC + kopírka 20, sety 20, stoly OF 80, stany 40, pokladní trezor 15</t>
  </si>
  <si>
    <t>modul personalistika 50, pokladny 38, modul insolvenční rejstřík 45, modul fakturace smlouvy 90</t>
  </si>
  <si>
    <t>Investice</t>
  </si>
  <si>
    <t>chytré zastávky</t>
  </si>
  <si>
    <t>obnovující opravy</t>
  </si>
  <si>
    <t>vodoměry</t>
  </si>
  <si>
    <t>žumpy</t>
  </si>
  <si>
    <t>zahájení koncesního řízení</t>
  </si>
  <si>
    <t>úklid a správcovství v DPS</t>
  </si>
  <si>
    <t>DPP úklid DPS v době dovolené</t>
  </si>
  <si>
    <t>2x nákup elektrovozu (dotace) - PS + MÚ</t>
  </si>
  <si>
    <t>úroky úvěr</t>
  </si>
  <si>
    <t>doplnění lékarniček</t>
  </si>
  <si>
    <t>Rezerva 2023</t>
  </si>
  <si>
    <t>Rezerva 2024</t>
  </si>
  <si>
    <t>Fond vodohospodářské infrastruktury</t>
  </si>
  <si>
    <t>Zeď Čakov</t>
  </si>
  <si>
    <t>60 fontána elektřina</t>
  </si>
  <si>
    <t>dohody Slavnosti</t>
  </si>
  <si>
    <t>Slavnosti</t>
  </si>
  <si>
    <t>rozvoj ICT v rámci zákona (přístup do centrálních registrů - elektronický archiv)</t>
  </si>
  <si>
    <t>stanoviště kontejnerů 1000 (projekt intenzifikace)</t>
  </si>
  <si>
    <t xml:space="preserve">intenzifikace sběru odpadu Roztoky na nákup nádob 1100/2400, </t>
  </si>
  <si>
    <t>Nákup DHDM</t>
  </si>
  <si>
    <t>pojištění</t>
  </si>
  <si>
    <t>výměna zásahových obleků + helmy</t>
  </si>
  <si>
    <t>obnova lezeckého vybavení 55, výstroj a výzbroj 60, náborové reklamní předměty 20, pěnidlo 500litrů 45</t>
  </si>
  <si>
    <t>pronájem garáží Solníky včetně energií (25 000/měsíčně)</t>
  </si>
  <si>
    <t>proškolení nových členů + obnovy kurzů</t>
  </si>
  <si>
    <t xml:space="preserve">svolávací systém, STK </t>
  </si>
  <si>
    <t>CAS 20 Scania výměna pneu 80, oprava Ford ranger 55, ostatní opravy 50</t>
  </si>
  <si>
    <t>mobilní odsávací jednotka výfukových plynů 57, překážkové prvky pro děti 60, plovoucí čerpadlo 36</t>
  </si>
  <si>
    <t>výměna pneumatických vaků 75, stabilizační tyč 65, vysavač 88, dýchací technika 118</t>
  </si>
  <si>
    <t>veterinář, ošetření a kastrace toulavých koček, odvod do útulku Kralupy (smluvní partner), desinsekce kotců a auta MP, péče o nalezené kočky</t>
  </si>
  <si>
    <t>Konečný stav k 30.9.2023</t>
  </si>
  <si>
    <t xml:space="preserve"> </t>
  </si>
  <si>
    <t>finanční dar - smlouva č. 170</t>
  </si>
  <si>
    <t>ZOZ - vedoucí OKVM, ŽP 2x, soc. 2x,  vzdělávání vedoucích + průběžné vzdělávání</t>
  </si>
  <si>
    <t>MÚ 700, UA 660 000</t>
  </si>
  <si>
    <t>MÚ + UA</t>
  </si>
  <si>
    <t>RUD kalkulačka zatím není k dispozici. Metodika Jakob: Rozpočet 2023 upravený dle návrhu státního rozpočtu na rok 2024, snížení příjmu dle úpravy RUD v konsolidačním balíčku včetně zohlednění daně z nemovitosti.</t>
  </si>
  <si>
    <t>Navýšení dle konsolidačního balíčku</t>
  </si>
  <si>
    <t>odhad - dopad konsolidačního balíčku</t>
  </si>
  <si>
    <t>spořící účet</t>
  </si>
  <si>
    <t>provozní rozpočet, nová technika bude financována z fondu</t>
  </si>
  <si>
    <t>Standardy dopravní obslužnosti: 340 1877, S4 573, 359 510, 350 344, 954 215, S49 150</t>
  </si>
  <si>
    <t>obnovující opravy dle koncesní smlouvy</t>
  </si>
  <si>
    <t>Energetické úspory Zaorálkova - spoluúčast</t>
  </si>
  <si>
    <t>Energetické úspory Přemyslovská - spoluúčast</t>
  </si>
  <si>
    <t>den dětí 35, den seniorů 35, transport 25, státní svátky 20, 2x vánoční strom 60, 17. listopad 50, 2x vítání občánků 36, 3x jubilanti 20, 2x zlatá svatba 5, mateřinkafest 10 (lektorné), slavnosti 400</t>
  </si>
  <si>
    <t>provoz 2.177.600, investice 600.000, nájem 591.320</t>
  </si>
  <si>
    <t>elektro + revize + správa kotelen 250+ ostatní služby 150</t>
  </si>
  <si>
    <t>Investiční transfery spolkům</t>
  </si>
  <si>
    <t>Junák - pozemky</t>
  </si>
  <si>
    <t>SK Roztoky - sekačka</t>
  </si>
  <si>
    <t>provoz 2.005.208, investice 500.000, nájem 300.000, logoped 290.000</t>
  </si>
  <si>
    <t>provoz 2.294.310, investice 300.000</t>
  </si>
  <si>
    <t>provoz 781, opravy 150</t>
  </si>
  <si>
    <t>IT 72, malování, voskování podlah 30, další</t>
  </si>
  <si>
    <t>Spoluúčast zateplení Nádražní 21, 22</t>
  </si>
  <si>
    <t>Masarykova 526 - úprava sklepa 100, drobné opravy nebytových domů 300, MÚ - rekonstrukce dvora 145 (wallbox) + oprava zdiva WC + sprchy 120, malování kanceláře místostarostů 45</t>
  </si>
  <si>
    <t>Pořizovatelské smlouvy: RP Solníky 60, Změna č.2 RP Panenská II 75, Změna č. 1 RP Horní Žalov 75, změna č. 2 ÚP 72,6, změna č. 3 ÚP 72,6; Realizace: RP Solníky 94, změna ÚP č. 2+3 460</t>
  </si>
  <si>
    <t>nájem prostor TS</t>
  </si>
  <si>
    <t>pytlíky na psy</t>
  </si>
  <si>
    <t>chodníky Havlíčkovka 500, bazén Spěšného 1000, PD energetické úspory 1100, PD školní zahrady 230</t>
  </si>
  <si>
    <t>Modernizace VO Etapa 1 + Etapa 2</t>
  </si>
  <si>
    <t>1350 2x elektrovůz, 2115 MŽP odpady, modernizace VO 3296</t>
  </si>
  <si>
    <t>běžné splátky úvěrů 14 477</t>
  </si>
  <si>
    <t>granty a dotace 2100, masopust 180</t>
  </si>
  <si>
    <t>na základě kolektivní smlouvy (3,5 % mzdových nákladů) - stravenky, které jsou v 5169</t>
  </si>
  <si>
    <t>MÚ služby + lektoři UA 150, mentoring pro ředitele školských zřízení 180, stravenky 600</t>
  </si>
  <si>
    <t>Dobrý nápad</t>
  </si>
  <si>
    <r>
      <t xml:space="preserve">Riegrova Bělina 9600, výtlak ČSOV Wolkerova 700, TDI + BOZP 206, </t>
    </r>
    <r>
      <rPr>
        <sz val="9"/>
        <color theme="1"/>
        <rFont val="Arial"/>
        <family val="2"/>
        <charset val="238"/>
      </rPr>
      <t>PD Potoky 1200</t>
    </r>
  </si>
  <si>
    <t>Nádražní 21 vyklízení půdy 75, Jungmannova 286 - výměna kuch. linky 75, Havlíčkova 1024 - úprava vodoinstalace a montáž měřících bodů 60, K Zastávce 1058 - kompletní zavedení kontrolní a revizní činnosti 60, Tiché údolí 110 - ošetření stěn 80, drobné opravy a čistění šachet 245</t>
  </si>
  <si>
    <r>
      <t>Nádražní 21 - projekt na zateplení objektu PENB 150, nová kanalizace 270,</t>
    </r>
    <r>
      <rPr>
        <sz val="9"/>
        <color rgb="FFC00000"/>
        <rFont val="Arial"/>
        <family val="2"/>
        <charset val="238"/>
      </rPr>
      <t xml:space="preserve"> </t>
    </r>
    <r>
      <rPr>
        <sz val="9"/>
        <color theme="1"/>
        <rFont val="Arial"/>
        <family val="2"/>
        <charset val="238"/>
      </rPr>
      <t>r</t>
    </r>
    <r>
      <rPr>
        <sz val="9"/>
        <rFont val="Arial"/>
        <family val="2"/>
        <charset val="238"/>
      </rPr>
      <t>ekonstrukce elektrorozvaděčů 280 - požadavek revize, Nádražní 22 -úprava prostor po sklípcích 100, projekt zateplení objektu 150,</t>
    </r>
    <r>
      <rPr>
        <sz val="9"/>
        <color rgb="FFC00000"/>
        <rFont val="Arial"/>
        <family val="2"/>
        <charset val="238"/>
      </rPr>
      <t xml:space="preserve"> </t>
    </r>
    <r>
      <rPr>
        <sz val="9"/>
        <rFont val="Arial"/>
        <family val="2"/>
        <charset val="238"/>
      </rPr>
      <t>rekonstrukce bytu 1900, DPS projekt úsporná opatření 1100, výměna zařizovacích předmětů 30, výměna kuchyňských linek 185, výměna hadiček k roháčkům 150, rekonstrukce bytových jednotek 650 Masarykova 963 okna- 57, Masarykova 964 okna 57, Masarykova 752 okna 160, K Zastávce 1058 stavebně technický průzkum objektu 150, Braunerova 994 - rekonstrukce koupelny 300, Rekonstrukce uvolněných bytů 400</t>
    </r>
  </si>
  <si>
    <t>Masarykova 526 - výměna vstupních dveří 65, projektové práce 500, Havlíčkova 713 - rekonstrukce ordinace 1000, MÚ - úprava kuchyně přízemí 150, výměna osvětlení 85, klimatizace zasedačka MU 200</t>
  </si>
  <si>
    <t>pomník Židům, naučná stezka LH 120</t>
  </si>
  <si>
    <t>revize, elektro, správa kotelen 274 + zálohy SVJ 1100, ostatní</t>
  </si>
  <si>
    <t>Studie sídelní zeleně - spoluúčast</t>
  </si>
  <si>
    <t>kancelářské potřeby, nahrávací zařízení</t>
  </si>
  <si>
    <r>
      <t>rekonstrukce šachty Masarykova 800,</t>
    </r>
    <r>
      <rPr>
        <sz val="9"/>
        <color theme="1"/>
        <rFont val="Arial"/>
        <family val="2"/>
        <charset val="238"/>
      </rPr>
      <t xml:space="preserve"> rekonstrukce šachty VDJ Sokolovna 1000</t>
    </r>
    <r>
      <rPr>
        <sz val="9"/>
        <rFont val="Arial"/>
        <family val="2"/>
        <charset val="238"/>
      </rPr>
      <t>, vodovod Riegrova x Bělina 2000, vodovod Spěšného 950, řad Masarykova 400</t>
    </r>
  </si>
  <si>
    <t>z toho 6041 nájem</t>
  </si>
  <si>
    <t>nájem ZŠ 6041 + ostatní nájem 150 + TS 1916</t>
  </si>
  <si>
    <t>dotace ČEZ - hřiště u ZŠ Zaorálkova - přijata 23</t>
  </si>
  <si>
    <t>zústatek na účtech + přijaté dotace 23, které budou realizované 24 (hřiště ZŠ Žalov 1000, jiřičky 155,5)</t>
  </si>
  <si>
    <t>oprava povrchu na DH Zaorálkova 2100 včetně kufru (1000 dotace ČEZ přijata 23), oprava plotu DH Obránců míru 250</t>
  </si>
  <si>
    <t>Potoky zeď 750, Spěšného 7800, TD+BOZP 200, inženýring 100, PD 270, serpentina obklad 2200</t>
  </si>
  <si>
    <r>
      <t xml:space="preserve">statické úpravy podloží ZŠ Školní nám 4800, žaluzie Žalov 450, konzervace fragmentu nálezu cihelna 400, zvlhčovač vzduchu pro nafukovací halu 260, výměna osvětlení budovy ZŠ Školní nám 1000, Projekt úsporná opatření 1100, BOZP + TDI 300, rekonstrukce střechy ZŠ Zaorálkova + tělocvična Školní nám 1600, </t>
    </r>
    <r>
      <rPr>
        <sz val="9"/>
        <color theme="1"/>
        <rFont val="Arial"/>
        <family val="2"/>
        <charset val="238"/>
      </rPr>
      <t>PD půdní vestavba 787</t>
    </r>
  </si>
  <si>
    <r>
      <t xml:space="preserve">úpravy parterů 800 (v okolí rekonstruovaných ulic, Husov nám., mobilář nádraží), úpravy asfaltu Roztoky Žalov 1000, chodníky Vrška 900, chodníky Roztoky, Žalov intravilán 600, </t>
    </r>
    <r>
      <rPr>
        <sz val="9"/>
        <color theme="1"/>
        <rFont val="Arial"/>
        <family val="2"/>
        <charset val="238"/>
      </rPr>
      <t>Maxmiliánka 300</t>
    </r>
    <r>
      <rPr>
        <sz val="9"/>
        <rFont val="Arial"/>
        <family val="2"/>
        <charset val="238"/>
      </rPr>
      <t xml:space="preserve">, </t>
    </r>
    <r>
      <rPr>
        <sz val="9"/>
        <color theme="1"/>
        <rFont val="Arial"/>
        <family val="2"/>
        <charset val="238"/>
      </rPr>
      <t>schody nádraží 1000,</t>
    </r>
    <r>
      <rPr>
        <sz val="9"/>
        <rFont val="Arial"/>
        <family val="2"/>
        <charset val="238"/>
      </rPr>
      <t xml:space="preserve"> chodník Přemyslovská 950, chodník Kostelní x Kroupka 440, zábradlí Kroupka 160, 435 Cyklostezka Úholičky</t>
    </r>
  </si>
  <si>
    <t>odpadová poradenská 90, aktualizace plánu odpadového hospodářství 70, další konzultace 70</t>
  </si>
  <si>
    <r>
      <t xml:space="preserve">park Svojsíkovy sady 250, naučná stezka Vltava 60, turistická stezka Čeňka Rýznera studie + PD 350, </t>
    </r>
    <r>
      <rPr>
        <sz val="9"/>
        <color theme="1"/>
        <rFont val="Arial"/>
        <family val="2"/>
        <charset val="238"/>
      </rPr>
      <t>čutňácká pláž 150</t>
    </r>
    <r>
      <rPr>
        <sz val="9"/>
        <rFont val="Arial"/>
        <family val="2"/>
        <charset val="238"/>
      </rPr>
      <t xml:space="preserve">, PD Dubečnice zelenomodrá infrastruktura spoluúčast 150, jiřičky (z letiště) 175,5 </t>
    </r>
  </si>
  <si>
    <t>deratizace a desincekce, celoplošná deratizace v roce 2024 (velký počet potkanů ve městě)</t>
  </si>
  <si>
    <t>informační koncepce (legislativní povinnost) a optimalizace procesů, daňový poradce 290</t>
  </si>
  <si>
    <t>rozvoj ICT (kyberbezpečnost, příprava digitalizace úřadu v kontextu povinností EG, implementace nezbytných částí Propojeného datového fondu) 300</t>
  </si>
  <si>
    <t>Dubečnice realizace uličního stromořadí dle pravidel zelenomodré infrastruktury</t>
  </si>
  <si>
    <t>příspěvek farnosti, varhany</t>
  </si>
  <si>
    <t>projekt rekonstrukce MČOV - studie</t>
  </si>
  <si>
    <t>Rozsvícení stromu Žalov 5 (mikuláš), občerstvení 25, 3x jubilnati 40, den učitelů 70, mateřinkafest 15, Slavnosti 15</t>
  </si>
  <si>
    <t>70 kompenzace energie Sokol (dle usnesení)</t>
  </si>
  <si>
    <t>PD dokumentace Technické služby 300</t>
  </si>
  <si>
    <t>Studie (Projekt) domov seniorů</t>
  </si>
  <si>
    <t>Schválený rozpočet na rok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</si>
</sst>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č&quot;"/>
    <numFmt numFmtId="165" formatCode="#,##0.00&quot;  &quot;"/>
  </numFmts>
  <fonts count="15" x14ac:knownFonts="1">
    <font>
      <sz val="11"/>
      <color indexed="8"/>
      <name val="Calibri"/>
      <family val="2"/>
      <scheme val="minor"/>
    </font>
    <font>
      <b/>
      <sz val="9"/>
      <name val="Arial"/>
      <family val="2"/>
      <charset val="238"/>
    </font>
    <font>
      <sz val="10"/>
      <color indexed="8"/>
      <name val="Arial"/>
      <family val="2"/>
      <charset val="238"/>
    </font>
    <font>
      <sz val="9"/>
      <color indexed="8"/>
      <name val="Arial"/>
      <family val="2"/>
      <charset val="238"/>
    </font>
    <font>
      <b/>
      <sz val="9"/>
      <color indexed="8"/>
      <name val="Arial"/>
      <family val="2"/>
      <charset val="238"/>
    </font>
    <font>
      <sz val="9"/>
      <name val="Arial"/>
      <family val="2"/>
      <charset val="238"/>
    </font>
    <font>
      <sz val="11"/>
      <color indexed="8"/>
      <name val="Calibri"/>
      <family val="2"/>
      <scheme val="minor"/>
    </font>
    <font>
      <b/>
      <sz val="10"/>
      <name val="Arial"/>
      <family val="2"/>
      <charset val="238"/>
    </font>
    <font>
      <sz val="10"/>
      <color theme="1"/>
      <name val="Arial"/>
      <family val="2"/>
      <charset val="238"/>
    </font>
    <font>
      <b/>
      <sz val="10"/>
      <color indexed="8"/>
      <name val="Arial"/>
      <family val="2"/>
      <charset val="238"/>
    </font>
    <font>
      <b/>
      <sz val="11"/>
      <color indexed="8"/>
      <name val="Calibri"/>
      <family val="2"/>
      <charset val="238"/>
      <scheme val="minor"/>
    </font>
    <font>
      <b/>
      <sz val="11"/>
      <color indexed="8"/>
      <name val="Arial"/>
      <family val="2"/>
      <charset val="238"/>
    </font>
    <font>
      <sz val="10"/>
      <name val="Arial"/>
      <family val="2"/>
      <charset val="238"/>
    </font>
    <font>
      <sz val="9"/>
      <color theme="1"/>
      <name val="Arial"/>
      <family val="2"/>
      <charset val="238"/>
    </font>
    <font>
      <sz val="9"/>
      <color rgb="FFC00000"/>
      <name val="Arial"/>
      <family val="2"/>
      <charset val="238"/>
    </font>
  </fonts>
  <fills count="8">
    <fill>
      <patternFill patternType="none"/>
    </fill>
    <fill>
      <patternFill patternType="gray125"/>
    </fill>
    <fill>
      <patternFill patternType="none">
        <bgColor indexed="22"/>
      </patternFill>
    </fill>
    <fill>
      <patternFill patternType="solid">
        <fgColor rgb="FFCCFFFF"/>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auto="1"/>
      </left>
      <right style="thin">
        <color auto="1"/>
      </right>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bottom/>
      <diagonal/>
    </border>
    <border>
      <left/>
      <right style="thin">
        <color auto="1"/>
      </right>
      <top/>
      <bottom/>
      <diagonal/>
    </border>
    <border>
      <left style="thin">
        <color auto="1"/>
      </left>
      <right style="thin">
        <color auto="1"/>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right/>
      <top style="double">
        <color auto="1"/>
      </top>
      <bottom style="thin">
        <color auto="1"/>
      </bottom>
      <diagonal/>
    </border>
    <border>
      <left/>
      <right style="thin">
        <color auto="1"/>
      </right>
      <top style="double">
        <color auto="1"/>
      </top>
      <bottom style="thin">
        <color auto="1"/>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s>
  <cellStyleXfs count="2">
    <xf numFmtId="0" fontId="0" fillId="0" borderId="0"/>
    <xf numFmtId="0" fontId="6" fillId="2" borderId="0"/>
  </cellStyleXfs>
  <cellXfs count="134">
    <xf numFmtId="0" fontId="0" fillId="0" borderId="0" xfId="0"/>
    <xf numFmtId="0" fontId="0" fillId="0" borderId="0" xfId="0" applyAlignment="1">
      <alignment horizontal="left"/>
    </xf>
    <xf numFmtId="2" fontId="0" fillId="0" borderId="0" xfId="0" applyNumberFormat="1" applyAlignment="1">
      <alignment horizontal="right"/>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0" fontId="2" fillId="0" borderId="2" xfId="0" applyFont="1" applyBorder="1"/>
    <xf numFmtId="0" fontId="2" fillId="0" borderId="3" xfId="0" applyFont="1" applyBorder="1"/>
    <xf numFmtId="4" fontId="2" fillId="0" borderId="3" xfId="0" applyNumberFormat="1" applyFont="1" applyBorder="1" applyAlignment="1">
      <alignment horizontal="right"/>
    </xf>
    <xf numFmtId="4" fontId="2" fillId="0" borderId="4" xfId="0" applyNumberFormat="1" applyFont="1" applyBorder="1" applyAlignment="1">
      <alignment horizontal="right"/>
    </xf>
    <xf numFmtId="0" fontId="2" fillId="0" borderId="5" xfId="0" applyFont="1" applyBorder="1"/>
    <xf numFmtId="4" fontId="2" fillId="0" borderId="5" xfId="0" applyNumberFormat="1" applyFont="1" applyBorder="1" applyAlignment="1">
      <alignment horizontal="right"/>
    </xf>
    <xf numFmtId="4" fontId="2" fillId="0" borderId="2" xfId="0" applyNumberFormat="1" applyFont="1" applyBorder="1" applyAlignment="1">
      <alignment horizontal="right"/>
    </xf>
    <xf numFmtId="0" fontId="2" fillId="0" borderId="5" xfId="0" applyFont="1" applyBorder="1" applyAlignment="1">
      <alignment wrapText="1"/>
    </xf>
    <xf numFmtId="0" fontId="3" fillId="4" borderId="2" xfId="0" applyFont="1" applyFill="1" applyBorder="1"/>
    <xf numFmtId="0" fontId="3" fillId="4" borderId="2" xfId="0" applyFont="1" applyFill="1" applyBorder="1" applyAlignment="1">
      <alignment wrapText="1"/>
    </xf>
    <xf numFmtId="164" fontId="3" fillId="4" borderId="2" xfId="0" applyNumberFormat="1" applyFont="1" applyFill="1" applyBorder="1" applyAlignment="1">
      <alignment horizontal="left"/>
    </xf>
    <xf numFmtId="164" fontId="3" fillId="4" borderId="2" xfId="0" applyNumberFormat="1" applyFont="1" applyFill="1" applyBorder="1" applyAlignment="1">
      <alignment horizontal="right"/>
    </xf>
    <xf numFmtId="164" fontId="3" fillId="4" borderId="6" xfId="0" applyNumberFormat="1" applyFont="1" applyFill="1" applyBorder="1" applyAlignment="1">
      <alignment horizontal="right"/>
    </xf>
    <xf numFmtId="0" fontId="3" fillId="0" borderId="2" xfId="0" applyFont="1" applyBorder="1"/>
    <xf numFmtId="0" fontId="3" fillId="0" borderId="2" xfId="0" applyFont="1" applyBorder="1" applyAlignment="1">
      <alignment wrapText="1"/>
    </xf>
    <xf numFmtId="164" fontId="3" fillId="0" borderId="2" xfId="0" applyNumberFormat="1" applyFont="1" applyBorder="1" applyAlignment="1">
      <alignment horizontal="left"/>
    </xf>
    <xf numFmtId="164" fontId="3" fillId="0" borderId="2" xfId="0" applyNumberFormat="1" applyFont="1" applyBorder="1" applyAlignment="1">
      <alignment horizontal="right"/>
    </xf>
    <xf numFmtId="164" fontId="3" fillId="0" borderId="6" xfId="0" applyNumberFormat="1" applyFont="1" applyBorder="1" applyAlignment="1">
      <alignment horizontal="right"/>
    </xf>
    <xf numFmtId="164" fontId="3" fillId="0" borderId="2" xfId="0" applyNumberFormat="1" applyFont="1" applyBorder="1"/>
    <xf numFmtId="0" fontId="4" fillId="5" borderId="2" xfId="0" applyFont="1" applyFill="1" applyBorder="1"/>
    <xf numFmtId="0" fontId="4" fillId="5" borderId="2" xfId="0" applyFont="1" applyFill="1" applyBorder="1" applyAlignment="1">
      <alignment wrapText="1"/>
    </xf>
    <xf numFmtId="164" fontId="4" fillId="5" borderId="2" xfId="0" applyNumberFormat="1" applyFont="1" applyFill="1" applyBorder="1" applyAlignment="1">
      <alignment horizontal="right"/>
    </xf>
    <xf numFmtId="0" fontId="3" fillId="6" borderId="2" xfId="0" applyFont="1" applyFill="1" applyBorder="1"/>
    <xf numFmtId="0" fontId="3" fillId="6" borderId="2" xfId="0" applyFont="1" applyFill="1" applyBorder="1" applyAlignment="1">
      <alignment horizontal="left"/>
    </xf>
    <xf numFmtId="0" fontId="3" fillId="6" borderId="5" xfId="0" applyFont="1" applyFill="1" applyBorder="1" applyAlignment="1">
      <alignment wrapText="1"/>
    </xf>
    <xf numFmtId="164" fontId="5" fillId="6" borderId="2" xfId="0" applyNumberFormat="1" applyFont="1" applyFill="1" applyBorder="1" applyAlignment="1">
      <alignment horizontal="right"/>
    </xf>
    <xf numFmtId="0" fontId="3" fillId="6" borderId="7" xfId="0" applyFont="1" applyFill="1" applyBorder="1"/>
    <xf numFmtId="0" fontId="3" fillId="6" borderId="7" xfId="0" applyFont="1" applyFill="1" applyBorder="1" applyAlignment="1">
      <alignment horizontal="left"/>
    </xf>
    <xf numFmtId="0" fontId="3" fillId="6" borderId="7" xfId="0" applyFont="1" applyFill="1" applyBorder="1" applyAlignment="1">
      <alignment wrapText="1"/>
    </xf>
    <xf numFmtId="4" fontId="5" fillId="6" borderId="7" xfId="0" applyNumberFormat="1" applyFont="1" applyFill="1" applyBorder="1" applyAlignment="1">
      <alignment wrapText="1"/>
    </xf>
    <xf numFmtId="0" fontId="4" fillId="6" borderId="7" xfId="0" applyFont="1" applyFill="1" applyBorder="1"/>
    <xf numFmtId="164" fontId="4" fillId="6" borderId="7" xfId="0" applyNumberFormat="1" applyFont="1" applyFill="1" applyBorder="1" applyAlignment="1">
      <alignment horizontal="right"/>
    </xf>
    <xf numFmtId="0" fontId="3" fillId="4" borderId="2" xfId="0" applyFont="1" applyFill="1" applyBorder="1" applyAlignment="1">
      <alignment horizontal="left"/>
    </xf>
    <xf numFmtId="0" fontId="4" fillId="5" borderId="8" xfId="0" applyFont="1" applyFill="1" applyBorder="1"/>
    <xf numFmtId="0" fontId="4" fillId="5" borderId="8" xfId="0" applyFont="1" applyFill="1" applyBorder="1" applyAlignment="1">
      <alignment wrapText="1"/>
    </xf>
    <xf numFmtId="164" fontId="4" fillId="5" borderId="8" xfId="0" applyNumberFormat="1" applyFont="1" applyFill="1" applyBorder="1"/>
    <xf numFmtId="164" fontId="0" fillId="0" borderId="0" xfId="0" applyNumberFormat="1"/>
    <xf numFmtId="164" fontId="0" fillId="0" borderId="0" xfId="0" applyNumberFormat="1" applyAlignment="1">
      <alignment horizontal="right"/>
    </xf>
    <xf numFmtId="0" fontId="7" fillId="3" borderId="1" xfId="1" applyFont="1" applyFill="1" applyBorder="1"/>
    <xf numFmtId="0" fontId="7" fillId="3" borderId="9" xfId="1" applyFont="1" applyFill="1" applyBorder="1"/>
    <xf numFmtId="164" fontId="7" fillId="3" borderId="1" xfId="1" applyNumberFormat="1" applyFont="1" applyFill="1" applyBorder="1" applyAlignment="1">
      <alignment horizontal="center" vertical="center" wrapText="1"/>
    </xf>
    <xf numFmtId="0" fontId="6" fillId="2" borderId="0" xfId="1"/>
    <xf numFmtId="0" fontId="2" fillId="2" borderId="6" xfId="1" applyFont="1" applyBorder="1"/>
    <xf numFmtId="0" fontId="2" fillId="2" borderId="10" xfId="1" applyFont="1" applyBorder="1"/>
    <xf numFmtId="4" fontId="8" fillId="2" borderId="4" xfId="1" applyNumberFormat="1" applyFont="1" applyBorder="1" applyAlignment="1">
      <alignment horizontal="right"/>
    </xf>
    <xf numFmtId="4" fontId="8" fillId="2" borderId="2" xfId="1" applyNumberFormat="1" applyFont="1" applyBorder="1" applyAlignment="1">
      <alignment horizontal="right"/>
    </xf>
    <xf numFmtId="4" fontId="2" fillId="2" borderId="2" xfId="1" applyNumberFormat="1" applyFont="1" applyBorder="1"/>
    <xf numFmtId="0" fontId="2" fillId="2" borderId="6" xfId="1" applyFont="1" applyBorder="1" applyAlignment="1">
      <alignment horizontal="left"/>
    </xf>
    <xf numFmtId="0" fontId="2" fillId="2" borderId="11" xfId="1" applyFont="1" applyBorder="1"/>
    <xf numFmtId="4" fontId="8" fillId="2" borderId="7" xfId="1" applyNumberFormat="1" applyFont="1" applyBorder="1" applyAlignment="1">
      <alignment horizontal="right"/>
    </xf>
    <xf numFmtId="0" fontId="9" fillId="5" borderId="8" xfId="1" applyFont="1" applyFill="1" applyBorder="1"/>
    <xf numFmtId="4" fontId="9" fillId="5" borderId="8" xfId="1" applyNumberFormat="1" applyFont="1" applyFill="1" applyBorder="1"/>
    <xf numFmtId="0" fontId="7" fillId="3" borderId="1" xfId="1" applyFont="1" applyFill="1" applyBorder="1" applyAlignment="1">
      <alignment horizontal="center" vertical="center"/>
    </xf>
    <xf numFmtId="0" fontId="7" fillId="3" borderId="9" xfId="1" applyFont="1" applyFill="1" applyBorder="1" applyAlignment="1">
      <alignment horizontal="center" vertical="center"/>
    </xf>
    <xf numFmtId="0" fontId="7" fillId="3" borderId="9" xfId="1" applyFont="1" applyFill="1" applyBorder="1" applyAlignment="1">
      <alignment horizontal="center" vertical="center" wrapText="1"/>
    </xf>
    <xf numFmtId="0" fontId="7" fillId="3" borderId="1" xfId="1" applyFont="1" applyFill="1" applyBorder="1" applyAlignment="1">
      <alignment horizontal="center" vertical="center" wrapText="1"/>
    </xf>
    <xf numFmtId="4" fontId="2" fillId="2" borderId="6" xfId="1" applyNumberFormat="1" applyFont="1" applyBorder="1" applyAlignment="1">
      <alignment horizontal="right"/>
    </xf>
    <xf numFmtId="0" fontId="2" fillId="2" borderId="2" xfId="1" applyFont="1" applyBorder="1"/>
    <xf numFmtId="0" fontId="2" fillId="2" borderId="6" xfId="1" applyFont="1" applyBorder="1" applyAlignment="1">
      <alignment wrapText="1"/>
    </xf>
    <xf numFmtId="4" fontId="2" fillId="2" borderId="7" xfId="1" applyNumberFormat="1" applyFont="1" applyBorder="1" applyAlignment="1">
      <alignment horizontal="right"/>
    </xf>
    <xf numFmtId="0" fontId="7" fillId="5" borderId="12" xfId="1" applyFont="1" applyFill="1" applyBorder="1"/>
    <xf numFmtId="0" fontId="7" fillId="5" borderId="13" xfId="1" applyFont="1" applyFill="1" applyBorder="1"/>
    <xf numFmtId="164" fontId="7" fillId="5" borderId="14" xfId="1" applyNumberFormat="1" applyFont="1" applyFill="1" applyBorder="1"/>
    <xf numFmtId="0" fontId="7" fillId="3" borderId="9" xfId="1" applyFont="1" applyFill="1" applyBorder="1" applyAlignment="1">
      <alignment horizontal="center"/>
    </xf>
    <xf numFmtId="165" fontId="2" fillId="2" borderId="6" xfId="1" applyNumberFormat="1" applyFont="1" applyBorder="1"/>
    <xf numFmtId="165" fontId="2" fillId="2" borderId="11" xfId="1" applyNumberFormat="1" applyFont="1" applyBorder="1"/>
    <xf numFmtId="165" fontId="9" fillId="5" borderId="8" xfId="1" applyNumberFormat="1" applyFont="1" applyFill="1" applyBorder="1"/>
    <xf numFmtId="0" fontId="3" fillId="0" borderId="2" xfId="0" applyFont="1" applyBorder="1" applyAlignment="1">
      <alignment horizontal="left" wrapText="1"/>
    </xf>
    <xf numFmtId="4" fontId="1" fillId="3" borderId="1" xfId="0" applyNumberFormat="1" applyFont="1" applyFill="1" applyBorder="1" applyAlignment="1">
      <alignment horizontal="center" vertical="center" wrapText="1"/>
    </xf>
    <xf numFmtId="4" fontId="5" fillId="4" borderId="2" xfId="0" applyNumberFormat="1" applyFont="1" applyFill="1" applyBorder="1"/>
    <xf numFmtId="4" fontId="5" fillId="0" borderId="2" xfId="0" applyNumberFormat="1" applyFont="1" applyBorder="1"/>
    <xf numFmtId="4" fontId="4" fillId="5" borderId="8" xfId="0" applyNumberFormat="1" applyFont="1" applyFill="1" applyBorder="1"/>
    <xf numFmtId="4" fontId="9" fillId="0" borderId="2" xfId="0" applyNumberFormat="1" applyFont="1" applyBorder="1" applyAlignment="1">
      <alignment horizontal="center"/>
    </xf>
    <xf numFmtId="4" fontId="9" fillId="4" borderId="2" xfId="0" applyNumberFormat="1" applyFont="1" applyFill="1" applyBorder="1" applyAlignment="1">
      <alignment horizontal="center"/>
    </xf>
    <xf numFmtId="4" fontId="9" fillId="2" borderId="2" xfId="0" applyNumberFormat="1" applyFont="1" applyFill="1" applyBorder="1" applyAlignment="1">
      <alignment horizontal="center"/>
    </xf>
    <xf numFmtId="4" fontId="4" fillId="5" borderId="2" xfId="0" applyNumberFormat="1" applyFont="1" applyFill="1" applyBorder="1" applyAlignment="1">
      <alignment horizontal="center" wrapText="1"/>
    </xf>
    <xf numFmtId="4" fontId="10" fillId="0" borderId="0" xfId="0" applyNumberFormat="1" applyFont="1" applyAlignment="1">
      <alignment horizontal="center"/>
    </xf>
    <xf numFmtId="0" fontId="0" fillId="0" borderId="0" xfId="0" applyAlignment="1">
      <alignment wrapText="1"/>
    </xf>
    <xf numFmtId="4" fontId="2" fillId="0" borderId="2" xfId="0" applyNumberFormat="1" applyFont="1" applyBorder="1" applyAlignment="1">
      <alignment horizontal="center"/>
    </xf>
    <xf numFmtId="4" fontId="5" fillId="4" borderId="2" xfId="0" applyNumberFormat="1" applyFont="1" applyFill="1" applyBorder="1" applyAlignment="1">
      <alignment horizontal="center"/>
    </xf>
    <xf numFmtId="4" fontId="5" fillId="0" borderId="2" xfId="0" applyNumberFormat="1" applyFont="1" applyBorder="1" applyAlignment="1">
      <alignment horizontal="center"/>
    </xf>
    <xf numFmtId="4" fontId="4" fillId="5" borderId="8" xfId="0" applyNumberFormat="1" applyFont="1" applyFill="1" applyBorder="1" applyAlignment="1">
      <alignment horizontal="center"/>
    </xf>
    <xf numFmtId="4" fontId="0" fillId="0" borderId="0" xfId="0" applyNumberFormat="1" applyAlignment="1">
      <alignment horizontal="center"/>
    </xf>
    <xf numFmtId="4" fontId="1" fillId="4" borderId="2" xfId="0" applyNumberFormat="1" applyFont="1" applyFill="1" applyBorder="1" applyAlignment="1">
      <alignment horizontal="center"/>
    </xf>
    <xf numFmtId="4" fontId="5" fillId="0" borderId="2" xfId="0" applyNumberFormat="1" applyFont="1" applyBorder="1" applyAlignment="1">
      <alignment wrapText="1"/>
    </xf>
    <xf numFmtId="4" fontId="5" fillId="0" borderId="2" xfId="0" applyNumberFormat="1" applyFont="1" applyBorder="1" applyAlignment="1">
      <alignment horizontal="left" vertical="center" wrapText="1"/>
    </xf>
    <xf numFmtId="4" fontId="5" fillId="0" borderId="2" xfId="0" applyNumberFormat="1" applyFont="1" applyBorder="1" applyAlignment="1">
      <alignment vertical="center" wrapText="1"/>
    </xf>
    <xf numFmtId="0" fontId="3" fillId="0" borderId="2" xfId="0" applyFont="1" applyBorder="1" applyAlignment="1">
      <alignment horizontal="left"/>
    </xf>
    <xf numFmtId="0" fontId="3" fillId="0" borderId="7" xfId="0" applyFont="1" applyBorder="1"/>
    <xf numFmtId="0" fontId="3" fillId="0" borderId="7" xfId="0" applyFont="1" applyBorder="1" applyAlignment="1">
      <alignment wrapText="1"/>
    </xf>
    <xf numFmtId="164" fontId="3" fillId="0" borderId="7" xfId="0" applyNumberFormat="1" applyFont="1" applyBorder="1" applyAlignment="1">
      <alignment horizontal="left"/>
    </xf>
    <xf numFmtId="164" fontId="3" fillId="0" borderId="7" xfId="0" applyNumberFormat="1" applyFont="1" applyBorder="1" applyAlignment="1">
      <alignment horizontal="right"/>
    </xf>
    <xf numFmtId="164" fontId="3" fillId="0" borderId="11" xfId="0" applyNumberFormat="1" applyFont="1" applyBorder="1" applyAlignment="1">
      <alignment horizontal="right"/>
    </xf>
    <xf numFmtId="164" fontId="3" fillId="0" borderId="7" xfId="0" applyNumberFormat="1" applyFont="1" applyBorder="1"/>
    <xf numFmtId="4" fontId="9" fillId="0" borderId="7" xfId="0" applyNumberFormat="1" applyFont="1" applyBorder="1" applyAlignment="1">
      <alignment horizontal="center"/>
    </xf>
    <xf numFmtId="0" fontId="0" fillId="0" borderId="7" xfId="0" applyBorder="1" applyAlignment="1">
      <alignment wrapText="1"/>
    </xf>
    <xf numFmtId="0" fontId="2" fillId="0" borderId="2" xfId="0" applyFont="1" applyBorder="1" applyAlignment="1">
      <alignment wrapText="1"/>
    </xf>
    <xf numFmtId="4" fontId="9" fillId="5" borderId="2" xfId="0" applyNumberFormat="1" applyFont="1" applyFill="1" applyBorder="1" applyAlignment="1">
      <alignment wrapText="1"/>
    </xf>
    <xf numFmtId="4" fontId="9" fillId="6" borderId="7" xfId="0" applyNumberFormat="1" applyFont="1" applyFill="1" applyBorder="1" applyAlignment="1">
      <alignment horizontal="right" wrapText="1"/>
    </xf>
    <xf numFmtId="0" fontId="12" fillId="0" borderId="2" xfId="0" applyFont="1" applyBorder="1"/>
    <xf numFmtId="0" fontId="2" fillId="2" borderId="5" xfId="1" applyFont="1" applyBorder="1" applyAlignment="1">
      <alignment horizontal="left"/>
    </xf>
    <xf numFmtId="4" fontId="0" fillId="0" borderId="0" xfId="0" applyNumberFormat="1"/>
    <xf numFmtId="4" fontId="2" fillId="7" borderId="2" xfId="0" applyNumberFormat="1" applyFont="1" applyFill="1" applyBorder="1" applyAlignment="1">
      <alignment horizontal="center"/>
    </xf>
    <xf numFmtId="4" fontId="2" fillId="0" borderId="6" xfId="1" applyNumberFormat="1" applyFont="1" applyFill="1" applyBorder="1" applyAlignment="1">
      <alignment horizontal="right"/>
    </xf>
    <xf numFmtId="4" fontId="2" fillId="0" borderId="11" xfId="1" applyNumberFormat="1" applyFont="1" applyFill="1" applyBorder="1" applyAlignment="1">
      <alignment horizontal="right"/>
    </xf>
    <xf numFmtId="4" fontId="2" fillId="6" borderId="6" xfId="0" applyNumberFormat="1" applyFont="1" applyFill="1" applyBorder="1" applyAlignment="1">
      <alignment horizontal="left" wrapText="1"/>
    </xf>
    <xf numFmtId="164" fontId="3" fillId="0" borderId="2" xfId="0" applyNumberFormat="1" applyFont="1" applyBorder="1" applyAlignment="1">
      <alignment horizontal="center"/>
    </xf>
    <xf numFmtId="4" fontId="13" fillId="0" borderId="2" xfId="0" applyNumberFormat="1" applyFont="1" applyBorder="1" applyAlignment="1">
      <alignment horizontal="center"/>
    </xf>
    <xf numFmtId="4" fontId="2" fillId="6" borderId="7" xfId="0" applyNumberFormat="1" applyFont="1" applyFill="1" applyBorder="1" applyAlignment="1">
      <alignment wrapText="1"/>
    </xf>
    <xf numFmtId="4" fontId="13" fillId="0" borderId="2" xfId="0" applyNumberFormat="1" applyFont="1" applyBorder="1" applyAlignment="1">
      <alignment vertical="center" wrapText="1"/>
    </xf>
    <xf numFmtId="0" fontId="2" fillId="0" borderId="5" xfId="1" applyFont="1" applyFill="1" applyBorder="1" applyAlignment="1">
      <alignment horizontal="left"/>
    </xf>
    <xf numFmtId="0" fontId="2" fillId="0" borderId="4" xfId="0" applyFont="1" applyBorder="1" applyAlignment="1">
      <alignment horizontal="left" wrapText="1"/>
    </xf>
    <xf numFmtId="0" fontId="2" fillId="0" borderId="2" xfId="0" applyFont="1" applyBorder="1" applyAlignment="1">
      <alignment horizontal="left" wrapText="1"/>
    </xf>
    <xf numFmtId="0" fontId="2" fillId="2" borderId="5" xfId="1" applyFont="1" applyBorder="1" applyAlignment="1">
      <alignment horizontal="left"/>
    </xf>
    <xf numFmtId="0" fontId="2" fillId="2" borderId="6" xfId="1" applyFont="1" applyBorder="1" applyAlignment="1">
      <alignment horizontal="left"/>
    </xf>
    <xf numFmtId="0" fontId="2" fillId="2" borderId="17" xfId="1" applyFont="1" applyBorder="1" applyAlignment="1">
      <alignment horizontal="left"/>
    </xf>
    <xf numFmtId="0" fontId="2" fillId="2" borderId="11" xfId="1" applyFont="1" applyBorder="1" applyAlignment="1">
      <alignment horizontal="left"/>
    </xf>
    <xf numFmtId="0" fontId="7" fillId="5" borderId="16" xfId="1" applyFont="1" applyFill="1" applyBorder="1" applyAlignment="1">
      <alignment horizontal="center"/>
    </xf>
    <xf numFmtId="0" fontId="7" fillId="5" borderId="14" xfId="1" applyFont="1" applyFill="1" applyBorder="1" applyAlignment="1">
      <alignment horizontal="center"/>
    </xf>
    <xf numFmtId="0" fontId="11" fillId="2" borderId="15" xfId="1" applyFont="1" applyBorder="1" applyAlignment="1">
      <alignment horizontal="center"/>
    </xf>
    <xf numFmtId="0" fontId="7" fillId="3" borderId="18"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11" fillId="2" borderId="15" xfId="1" applyFont="1" applyBorder="1" applyAlignment="1">
      <alignment horizontal="center" vertical="center"/>
    </xf>
    <xf numFmtId="0" fontId="2" fillId="2" borderId="5" xfId="1" applyFont="1" applyBorder="1" applyAlignment="1">
      <alignment horizontal="left" wrapText="1"/>
    </xf>
    <xf numFmtId="0" fontId="2" fillId="2" borderId="6" xfId="1" applyFont="1" applyBorder="1" applyAlignment="1">
      <alignment horizontal="left" wrapText="1"/>
    </xf>
    <xf numFmtId="4" fontId="2" fillId="0" borderId="2" xfId="0" applyNumberFormat="1" applyFont="1" applyFill="1" applyBorder="1" applyAlignment="1">
      <alignment horizontal="center"/>
    </xf>
    <xf numFmtId="4" fontId="8" fillId="0" borderId="2" xfId="0" applyNumberFormat="1" applyFont="1" applyFill="1" applyBorder="1" applyAlignment="1">
      <alignment horizontal="center"/>
    </xf>
    <xf numFmtId="4" fontId="5" fillId="0" borderId="2" xfId="0" applyNumberFormat="1" applyFont="1" applyFill="1" applyBorder="1" applyAlignment="1">
      <alignment horizontal="center"/>
    </xf>
    <xf numFmtId="4" fontId="0" fillId="0" borderId="0" xfId="0" applyNumberFormat="1" applyFill="1" applyAlignment="1">
      <alignment horizontal="center"/>
    </xf>
  </cellXfs>
  <cellStyles count="2">
    <cellStyle name="Normální" xfId="0" builtinId="0"/>
    <cellStyle name="Normální 2" xfId="1" xr:uid="{E84504D7-EEFB-4A2F-A480-232BD5D9F3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3"/>
  <sheetViews>
    <sheetView zoomScale="85" zoomScaleNormal="85" workbookViewId="0">
      <selection activeCell="H104" sqref="H104"/>
    </sheetView>
  </sheetViews>
  <sheetFormatPr defaultRowHeight="15" x14ac:dyDescent="0.25"/>
  <cols>
    <col min="1" max="1" width="7.7109375" customWidth="1"/>
    <col min="2" max="2" width="8.7109375" customWidth="1"/>
    <col min="3" max="3" width="63.7109375" customWidth="1"/>
    <col min="4" max="4" width="18.7109375" customWidth="1"/>
    <col min="5" max="5" width="16.42578125" customWidth="1"/>
    <col min="6" max="6" width="16.7109375" customWidth="1"/>
    <col min="7" max="7" width="17" style="81" customWidth="1"/>
    <col min="8" max="8" width="46.42578125" style="82" customWidth="1"/>
    <col min="9" max="9" width="3" customWidth="1"/>
    <col min="10" max="10" width="14.5703125" style="106" customWidth="1"/>
    <col min="11" max="11" width="3.42578125" customWidth="1"/>
    <col min="14" max="14" width="15.7109375" style="106" customWidth="1"/>
    <col min="15" max="15" width="14.85546875" customWidth="1"/>
    <col min="16" max="16" width="13.7109375" style="106" customWidth="1"/>
  </cols>
  <sheetData>
    <row r="1" spans="1:16" ht="42" customHeight="1" thickBot="1" x14ac:dyDescent="0.3">
      <c r="A1" s="3" t="s">
        <v>0</v>
      </c>
      <c r="B1" s="3" t="s">
        <v>1</v>
      </c>
      <c r="C1" s="3" t="s">
        <v>2</v>
      </c>
      <c r="D1" s="4" t="s">
        <v>3</v>
      </c>
      <c r="E1" s="4" t="s">
        <v>275</v>
      </c>
      <c r="F1" s="4" t="s">
        <v>276</v>
      </c>
      <c r="G1" s="73" t="s">
        <v>489</v>
      </c>
      <c r="H1" s="73" t="s">
        <v>323</v>
      </c>
      <c r="J1"/>
      <c r="N1"/>
      <c r="P1"/>
    </row>
    <row r="2" spans="1:16" ht="15.75" thickTop="1" x14ac:dyDescent="0.25">
      <c r="A2" s="5" t="s">
        <v>4</v>
      </c>
      <c r="B2" s="6" t="s">
        <v>9</v>
      </c>
      <c r="C2" s="6" t="s">
        <v>10</v>
      </c>
      <c r="D2" s="7">
        <v>26550288</v>
      </c>
      <c r="E2" s="7">
        <v>27650288</v>
      </c>
      <c r="F2" s="8">
        <v>20971296.120000001</v>
      </c>
      <c r="G2" s="130">
        <v>29727201</v>
      </c>
      <c r="H2" s="116" t="s">
        <v>428</v>
      </c>
      <c r="J2"/>
      <c r="N2"/>
      <c r="P2"/>
    </row>
    <row r="3" spans="1:16" x14ac:dyDescent="0.25">
      <c r="A3" s="5" t="s">
        <v>4</v>
      </c>
      <c r="B3" s="9" t="s">
        <v>11</v>
      </c>
      <c r="C3" s="9" t="s">
        <v>12</v>
      </c>
      <c r="D3" s="10">
        <v>2603102</v>
      </c>
      <c r="E3" s="10">
        <v>2603102</v>
      </c>
      <c r="F3" s="11">
        <v>1506040.12</v>
      </c>
      <c r="G3" s="130">
        <v>3248721</v>
      </c>
      <c r="H3" s="117"/>
      <c r="J3"/>
      <c r="N3"/>
      <c r="P3"/>
    </row>
    <row r="4" spans="1:16" x14ac:dyDescent="0.25">
      <c r="A4" s="5" t="s">
        <v>4</v>
      </c>
      <c r="B4" s="9" t="s">
        <v>13</v>
      </c>
      <c r="C4" s="9" t="s">
        <v>14</v>
      </c>
      <c r="D4" s="10">
        <v>5531310</v>
      </c>
      <c r="E4" s="10">
        <v>6381310</v>
      </c>
      <c r="F4" s="11">
        <v>5197510.96</v>
      </c>
      <c r="G4" s="130">
        <v>5723871</v>
      </c>
      <c r="H4" s="117"/>
      <c r="J4"/>
      <c r="N4"/>
      <c r="P4"/>
    </row>
    <row r="5" spans="1:16" ht="27" customHeight="1" x14ac:dyDescent="0.25">
      <c r="A5" s="5" t="s">
        <v>4</v>
      </c>
      <c r="B5" s="9" t="s">
        <v>15</v>
      </c>
      <c r="C5" s="9" t="s">
        <v>16</v>
      </c>
      <c r="D5" s="10">
        <v>38780629</v>
      </c>
      <c r="E5" s="10">
        <v>46880629</v>
      </c>
      <c r="F5" s="11">
        <v>39173363.649999999</v>
      </c>
      <c r="G5" s="130">
        <v>47083455</v>
      </c>
      <c r="H5" s="117"/>
      <c r="J5"/>
      <c r="N5"/>
      <c r="P5"/>
    </row>
    <row r="6" spans="1:16" ht="26.25" x14ac:dyDescent="0.25">
      <c r="A6" s="5" t="s">
        <v>4</v>
      </c>
      <c r="B6" s="9" t="s">
        <v>17</v>
      </c>
      <c r="C6" s="12" t="s">
        <v>18</v>
      </c>
      <c r="D6" s="10">
        <v>5200000</v>
      </c>
      <c r="E6" s="10">
        <v>5598730</v>
      </c>
      <c r="F6" s="11">
        <v>5598730</v>
      </c>
      <c r="G6" s="130">
        <v>5700000</v>
      </c>
      <c r="H6" s="101" t="s">
        <v>366</v>
      </c>
      <c r="J6"/>
      <c r="N6"/>
      <c r="P6"/>
    </row>
    <row r="7" spans="1:16" x14ac:dyDescent="0.25">
      <c r="A7" s="5" t="s">
        <v>4</v>
      </c>
      <c r="B7" s="9" t="s">
        <v>19</v>
      </c>
      <c r="C7" s="9" t="s">
        <v>20</v>
      </c>
      <c r="D7" s="10">
        <v>94155188</v>
      </c>
      <c r="E7" s="10">
        <v>89855188</v>
      </c>
      <c r="F7" s="11">
        <v>64400764.159999996</v>
      </c>
      <c r="G7" s="130">
        <v>92135859</v>
      </c>
      <c r="H7" s="101"/>
      <c r="J7"/>
      <c r="N7"/>
      <c r="P7"/>
    </row>
    <row r="8" spans="1:16" ht="26.25" x14ac:dyDescent="0.25">
      <c r="A8" s="5" t="s">
        <v>4</v>
      </c>
      <c r="B8" s="9" t="s">
        <v>21</v>
      </c>
      <c r="C8" s="12" t="s">
        <v>22</v>
      </c>
      <c r="D8" s="10">
        <v>20000</v>
      </c>
      <c r="E8" s="10">
        <v>20000</v>
      </c>
      <c r="F8" s="11">
        <v>28071.9</v>
      </c>
      <c r="G8" s="130">
        <v>30000</v>
      </c>
      <c r="H8" s="101"/>
      <c r="J8"/>
      <c r="N8"/>
      <c r="P8"/>
    </row>
    <row r="9" spans="1:16" x14ac:dyDescent="0.25">
      <c r="A9" s="5" t="s">
        <v>4</v>
      </c>
      <c r="B9" s="9" t="s">
        <v>23</v>
      </c>
      <c r="C9" s="9" t="s">
        <v>24</v>
      </c>
      <c r="D9" s="10">
        <v>460000</v>
      </c>
      <c r="E9" s="10">
        <v>460000</v>
      </c>
      <c r="F9" s="11">
        <v>424108</v>
      </c>
      <c r="G9" s="130">
        <v>450000</v>
      </c>
      <c r="H9" s="101"/>
      <c r="J9"/>
      <c r="N9"/>
      <c r="P9"/>
    </row>
    <row r="10" spans="1:16" x14ac:dyDescent="0.25">
      <c r="A10" s="5" t="s">
        <v>4</v>
      </c>
      <c r="B10" s="9" t="s">
        <v>25</v>
      </c>
      <c r="C10" s="9" t="s">
        <v>26</v>
      </c>
      <c r="D10" s="10">
        <v>45000</v>
      </c>
      <c r="E10" s="10">
        <v>45000</v>
      </c>
      <c r="F10" s="11">
        <v>15664</v>
      </c>
      <c r="G10" s="130">
        <v>30000</v>
      </c>
      <c r="H10" s="101"/>
      <c r="J10"/>
      <c r="N10"/>
      <c r="P10"/>
    </row>
    <row r="11" spans="1:16" x14ac:dyDescent="0.25">
      <c r="A11" s="5" t="s">
        <v>4</v>
      </c>
      <c r="B11" s="9" t="s">
        <v>27</v>
      </c>
      <c r="C11" s="9" t="s">
        <v>28</v>
      </c>
      <c r="D11" s="10">
        <v>200000</v>
      </c>
      <c r="E11" s="10">
        <v>312500</v>
      </c>
      <c r="F11" s="11">
        <v>334759.5</v>
      </c>
      <c r="G11" s="130">
        <v>300000</v>
      </c>
      <c r="H11" s="101"/>
      <c r="J11"/>
      <c r="N11"/>
      <c r="P11"/>
    </row>
    <row r="12" spans="1:16" ht="26.25" x14ac:dyDescent="0.25">
      <c r="A12" s="5" t="s">
        <v>4</v>
      </c>
      <c r="B12" s="9" t="s">
        <v>29</v>
      </c>
      <c r="C12" s="12" t="s">
        <v>30</v>
      </c>
      <c r="D12" s="10">
        <v>6300000</v>
      </c>
      <c r="E12" s="10">
        <v>6300000</v>
      </c>
      <c r="F12" s="11">
        <v>6082264.6500000004</v>
      </c>
      <c r="G12" s="130">
        <v>6300000</v>
      </c>
      <c r="H12" s="101"/>
      <c r="J12"/>
      <c r="N12"/>
      <c r="P12"/>
    </row>
    <row r="13" spans="1:16" x14ac:dyDescent="0.25">
      <c r="A13" s="5" t="s">
        <v>4</v>
      </c>
      <c r="B13" s="9" t="s">
        <v>31</v>
      </c>
      <c r="C13" s="9" t="s">
        <v>32</v>
      </c>
      <c r="D13" s="10">
        <v>350000</v>
      </c>
      <c r="E13" s="10">
        <v>350000</v>
      </c>
      <c r="F13" s="11">
        <v>210700</v>
      </c>
      <c r="G13" s="131">
        <v>270000</v>
      </c>
      <c r="H13" s="101"/>
      <c r="J13"/>
      <c r="N13"/>
      <c r="P13"/>
    </row>
    <row r="14" spans="1:16" x14ac:dyDescent="0.25">
      <c r="A14" s="5" t="s">
        <v>4</v>
      </c>
      <c r="B14" s="9" t="s">
        <v>33</v>
      </c>
      <c r="C14" s="9" t="s">
        <v>34</v>
      </c>
      <c r="D14" s="10">
        <v>870000</v>
      </c>
      <c r="E14" s="10">
        <v>870000</v>
      </c>
      <c r="F14" s="11">
        <v>980219.16</v>
      </c>
      <c r="G14" s="130">
        <v>550000</v>
      </c>
      <c r="H14" s="101" t="s">
        <v>430</v>
      </c>
      <c r="J14"/>
      <c r="N14"/>
      <c r="P14"/>
    </row>
    <row r="15" spans="1:16" x14ac:dyDescent="0.25">
      <c r="A15" s="5" t="s">
        <v>4</v>
      </c>
      <c r="B15" s="9" t="s">
        <v>35</v>
      </c>
      <c r="C15" s="9" t="s">
        <v>36</v>
      </c>
      <c r="D15" s="10">
        <v>3100000</v>
      </c>
      <c r="E15" s="10">
        <v>3100000</v>
      </c>
      <c r="F15" s="11">
        <v>2654818.9900000002</v>
      </c>
      <c r="G15" s="107">
        <v>5600000</v>
      </c>
      <c r="H15" s="101" t="s">
        <v>429</v>
      </c>
      <c r="J15"/>
      <c r="N15"/>
      <c r="P15"/>
    </row>
    <row r="16" spans="1:16" x14ac:dyDescent="0.25">
      <c r="A16" s="5" t="s">
        <v>4</v>
      </c>
      <c r="B16" s="9" t="s">
        <v>87</v>
      </c>
      <c r="C16" s="9" t="s">
        <v>88</v>
      </c>
      <c r="D16" s="10">
        <v>0</v>
      </c>
      <c r="E16" s="10">
        <v>285200</v>
      </c>
      <c r="F16" s="11">
        <v>337976.05</v>
      </c>
      <c r="G16" s="83" t="s">
        <v>325</v>
      </c>
      <c r="H16" s="101"/>
      <c r="J16"/>
      <c r="N16"/>
      <c r="P16"/>
    </row>
    <row r="17" spans="1:8" ht="26.25" x14ac:dyDescent="0.25">
      <c r="A17" s="1" t="s">
        <v>4</v>
      </c>
      <c r="B17" s="9" t="s">
        <v>89</v>
      </c>
      <c r="C17" s="12" t="s">
        <v>90</v>
      </c>
      <c r="D17" s="10">
        <v>8043400</v>
      </c>
      <c r="E17" s="10">
        <v>8357500</v>
      </c>
      <c r="F17" s="11">
        <v>6268122</v>
      </c>
      <c r="G17" s="83">
        <v>8012200</v>
      </c>
      <c r="H17" s="101" t="s">
        <v>324</v>
      </c>
    </row>
    <row r="18" spans="1:8" x14ac:dyDescent="0.25">
      <c r="A18" s="1" t="s">
        <v>4</v>
      </c>
      <c r="B18" s="9" t="s">
        <v>91</v>
      </c>
      <c r="C18" s="9" t="s">
        <v>92</v>
      </c>
      <c r="D18" s="10">
        <v>0</v>
      </c>
      <c r="E18" s="10">
        <v>11767098</v>
      </c>
      <c r="F18" s="11">
        <v>11767098</v>
      </c>
      <c r="G18" s="83" t="s">
        <v>325</v>
      </c>
      <c r="H18" s="101"/>
    </row>
    <row r="19" spans="1:8" ht="26.25" x14ac:dyDescent="0.25">
      <c r="A19" s="1" t="s">
        <v>4</v>
      </c>
      <c r="B19" s="9" t="s">
        <v>93</v>
      </c>
      <c r="C19" s="12" t="s">
        <v>94</v>
      </c>
      <c r="D19" s="10">
        <v>1158000</v>
      </c>
      <c r="E19" s="10">
        <v>1158000</v>
      </c>
      <c r="F19" s="11">
        <v>1181000</v>
      </c>
      <c r="G19" s="83">
        <f>120000+944000+30000+20000</f>
        <v>1114000</v>
      </c>
      <c r="H19" s="101" t="s">
        <v>326</v>
      </c>
    </row>
    <row r="20" spans="1:8" x14ac:dyDescent="0.25">
      <c r="A20" s="1" t="s">
        <v>4</v>
      </c>
      <c r="B20" s="9" t="s">
        <v>95</v>
      </c>
      <c r="C20" s="9" t="s">
        <v>96</v>
      </c>
      <c r="D20" s="10">
        <v>1020000</v>
      </c>
      <c r="E20" s="10">
        <v>1317300</v>
      </c>
      <c r="F20" s="11">
        <v>1317300</v>
      </c>
      <c r="G20" s="83">
        <v>1320000</v>
      </c>
      <c r="H20" s="101" t="s">
        <v>327</v>
      </c>
    </row>
    <row r="21" spans="1:8" ht="26.25" x14ac:dyDescent="0.25">
      <c r="A21" s="1" t="s">
        <v>4</v>
      </c>
      <c r="B21" s="9" t="s">
        <v>97</v>
      </c>
      <c r="C21" s="12" t="s">
        <v>98</v>
      </c>
      <c r="D21" s="10">
        <v>0</v>
      </c>
      <c r="E21" s="10">
        <v>85625.46</v>
      </c>
      <c r="F21" s="11">
        <v>85625.46</v>
      </c>
      <c r="G21" s="83" t="s">
        <v>325</v>
      </c>
      <c r="H21" s="101"/>
    </row>
    <row r="22" spans="1:8" ht="26.25" x14ac:dyDescent="0.25">
      <c r="A22" s="5" t="s">
        <v>4</v>
      </c>
      <c r="B22" s="9" t="s">
        <v>99</v>
      </c>
      <c r="C22" s="9" t="s">
        <v>100</v>
      </c>
      <c r="D22" s="10">
        <v>9460000</v>
      </c>
      <c r="E22" s="10">
        <v>9460000</v>
      </c>
      <c r="F22" s="11">
        <v>0</v>
      </c>
      <c r="G22" s="83">
        <f>1350000+2115151.39+3296639</f>
        <v>6761790.3900000006</v>
      </c>
      <c r="H22" s="101" t="s">
        <v>454</v>
      </c>
    </row>
    <row r="23" spans="1:8" x14ac:dyDescent="0.25">
      <c r="A23" s="13" t="s">
        <v>5</v>
      </c>
      <c r="B23" s="14" t="s">
        <v>4</v>
      </c>
      <c r="C23" s="15" t="s">
        <v>6</v>
      </c>
      <c r="D23" s="16">
        <v>25000</v>
      </c>
      <c r="E23" s="17">
        <v>25000</v>
      </c>
      <c r="F23" s="16">
        <v>12575</v>
      </c>
      <c r="G23" s="78">
        <f>G24</f>
        <v>25000</v>
      </c>
      <c r="H23" s="78"/>
    </row>
    <row r="24" spans="1:8" x14ac:dyDescent="0.25">
      <c r="A24" s="18"/>
      <c r="B24" s="19" t="s">
        <v>7</v>
      </c>
      <c r="C24" s="20" t="s">
        <v>8</v>
      </c>
      <c r="D24" s="21">
        <v>25000</v>
      </c>
      <c r="E24" s="22">
        <v>25000</v>
      </c>
      <c r="F24" s="23">
        <v>12575</v>
      </c>
      <c r="G24" s="83">
        <v>25000</v>
      </c>
      <c r="H24" s="101" t="s">
        <v>328</v>
      </c>
    </row>
    <row r="25" spans="1:8" x14ac:dyDescent="0.25">
      <c r="A25" s="13" t="s">
        <v>37</v>
      </c>
      <c r="B25" s="14" t="s">
        <v>4</v>
      </c>
      <c r="C25" s="15" t="s">
        <v>38</v>
      </c>
      <c r="D25" s="16">
        <v>0</v>
      </c>
      <c r="E25" s="17">
        <v>650000</v>
      </c>
      <c r="F25" s="16">
        <v>635300</v>
      </c>
      <c r="G25" s="78" t="s">
        <v>325</v>
      </c>
      <c r="H25" s="78"/>
    </row>
    <row r="26" spans="1:8" x14ac:dyDescent="0.25">
      <c r="A26" s="18"/>
      <c r="B26" s="19" t="s">
        <v>39</v>
      </c>
      <c r="C26" s="20" t="s">
        <v>40</v>
      </c>
      <c r="D26" s="21">
        <v>0</v>
      </c>
      <c r="E26" s="22">
        <v>650000</v>
      </c>
      <c r="F26" s="23">
        <v>600000</v>
      </c>
      <c r="G26" s="77" t="s">
        <v>325</v>
      </c>
      <c r="H26" s="101"/>
    </row>
    <row r="27" spans="1:8" x14ac:dyDescent="0.25">
      <c r="A27" s="18"/>
      <c r="B27" s="19" t="s">
        <v>41</v>
      </c>
      <c r="C27" s="20" t="s">
        <v>42</v>
      </c>
      <c r="D27" s="21">
        <v>0</v>
      </c>
      <c r="E27" s="22">
        <v>0</v>
      </c>
      <c r="F27" s="23">
        <v>35300</v>
      </c>
      <c r="G27" s="77" t="s">
        <v>325</v>
      </c>
      <c r="H27" s="101"/>
    </row>
    <row r="28" spans="1:8" x14ac:dyDescent="0.25">
      <c r="A28" s="13" t="s">
        <v>43</v>
      </c>
      <c r="B28" s="14" t="s">
        <v>4</v>
      </c>
      <c r="C28" s="15" t="s">
        <v>44</v>
      </c>
      <c r="D28" s="16">
        <v>0</v>
      </c>
      <c r="E28" s="17">
        <v>52845</v>
      </c>
      <c r="F28" s="16">
        <v>52845</v>
      </c>
      <c r="G28" s="78" t="s">
        <v>325</v>
      </c>
      <c r="H28" s="78"/>
    </row>
    <row r="29" spans="1:8" x14ac:dyDescent="0.25">
      <c r="A29" s="18"/>
      <c r="B29" s="19" t="s">
        <v>41</v>
      </c>
      <c r="C29" s="20" t="s">
        <v>42</v>
      </c>
      <c r="D29" s="21">
        <v>0</v>
      </c>
      <c r="E29" s="22">
        <v>52845</v>
      </c>
      <c r="F29" s="23">
        <v>52845</v>
      </c>
      <c r="G29" s="77" t="s">
        <v>325</v>
      </c>
      <c r="H29" s="101"/>
    </row>
    <row r="30" spans="1:8" x14ac:dyDescent="0.25">
      <c r="A30" s="13" t="s">
        <v>45</v>
      </c>
      <c r="B30" s="14" t="s">
        <v>4</v>
      </c>
      <c r="C30" s="15" t="s">
        <v>46</v>
      </c>
      <c r="D30" s="16">
        <v>4849680</v>
      </c>
      <c r="E30" s="17">
        <v>4849680</v>
      </c>
      <c r="F30" s="16">
        <v>3283552.8</v>
      </c>
      <c r="G30" s="78">
        <f>SUM(G31)</f>
        <v>4970680</v>
      </c>
      <c r="H30" s="78"/>
    </row>
    <row r="31" spans="1:8" x14ac:dyDescent="0.25">
      <c r="A31" s="18" t="s">
        <v>423</v>
      </c>
      <c r="B31" s="19" t="s">
        <v>47</v>
      </c>
      <c r="C31" s="20" t="s">
        <v>48</v>
      </c>
      <c r="D31" s="21">
        <v>4849680</v>
      </c>
      <c r="E31" s="22">
        <v>4849680</v>
      </c>
      <c r="F31" s="23">
        <v>3283552.8</v>
      </c>
      <c r="G31" s="83">
        <v>4970680</v>
      </c>
      <c r="H31" s="101" t="s">
        <v>337</v>
      </c>
    </row>
    <row r="32" spans="1:8" x14ac:dyDescent="0.25">
      <c r="A32" s="13" t="s">
        <v>39</v>
      </c>
      <c r="B32" s="14" t="s">
        <v>4</v>
      </c>
      <c r="C32" s="15" t="s">
        <v>49</v>
      </c>
      <c r="D32" s="16">
        <v>8229210</v>
      </c>
      <c r="E32" s="17">
        <v>8229210</v>
      </c>
      <c r="F32" s="16">
        <v>5890610.3300000001</v>
      </c>
      <c r="G32" s="78">
        <f>SUM(G33:G34)</f>
        <v>9318210</v>
      </c>
      <c r="H32" s="78"/>
    </row>
    <row r="33" spans="1:8" x14ac:dyDescent="0.25">
      <c r="A33" s="18"/>
      <c r="B33" s="19" t="s">
        <v>39</v>
      </c>
      <c r="C33" s="20" t="s">
        <v>40</v>
      </c>
      <c r="D33" s="21"/>
      <c r="E33" s="22"/>
      <c r="F33" s="23"/>
      <c r="G33" s="83">
        <v>726000</v>
      </c>
      <c r="H33" s="101" t="s">
        <v>424</v>
      </c>
    </row>
    <row r="34" spans="1:8" x14ac:dyDescent="0.25">
      <c r="A34" s="18"/>
      <c r="B34" s="19" t="s">
        <v>47</v>
      </c>
      <c r="C34" s="20" t="s">
        <v>48</v>
      </c>
      <c r="D34" s="21">
        <v>8229210</v>
      </c>
      <c r="E34" s="22">
        <v>8229210</v>
      </c>
      <c r="F34" s="23">
        <v>5890610.3300000001</v>
      </c>
      <c r="G34" s="83">
        <v>8592210</v>
      </c>
      <c r="H34" s="101" t="s">
        <v>337</v>
      </c>
    </row>
    <row r="35" spans="1:8" x14ac:dyDescent="0.25">
      <c r="A35" s="13" t="s">
        <v>50</v>
      </c>
      <c r="B35" s="14" t="s">
        <v>4</v>
      </c>
      <c r="C35" s="15" t="s">
        <v>51</v>
      </c>
      <c r="D35" s="16">
        <v>1009140</v>
      </c>
      <c r="E35" s="17">
        <v>1009140</v>
      </c>
      <c r="F35" s="16">
        <v>756855</v>
      </c>
      <c r="G35" s="78">
        <f>SUM(G36)</f>
        <v>1009140</v>
      </c>
      <c r="H35" s="78"/>
    </row>
    <row r="36" spans="1:8" x14ac:dyDescent="0.25">
      <c r="A36" s="18"/>
      <c r="B36" s="19" t="s">
        <v>47</v>
      </c>
      <c r="C36" s="20" t="s">
        <v>48</v>
      </c>
      <c r="D36" s="21">
        <v>1009140</v>
      </c>
      <c r="E36" s="22">
        <v>1009140</v>
      </c>
      <c r="F36" s="23">
        <v>756855</v>
      </c>
      <c r="G36" s="83">
        <v>1009140</v>
      </c>
      <c r="H36" s="101" t="s">
        <v>337</v>
      </c>
    </row>
    <row r="37" spans="1:8" x14ac:dyDescent="0.25">
      <c r="A37" s="13" t="s">
        <v>52</v>
      </c>
      <c r="B37" s="14" t="s">
        <v>4</v>
      </c>
      <c r="C37" s="15" t="s">
        <v>53</v>
      </c>
      <c r="D37" s="16">
        <v>0</v>
      </c>
      <c r="E37" s="17">
        <v>0</v>
      </c>
      <c r="F37" s="16">
        <v>92230</v>
      </c>
      <c r="G37" s="78" t="s">
        <v>325</v>
      </c>
      <c r="H37" s="78"/>
    </row>
    <row r="38" spans="1:8" x14ac:dyDescent="0.25">
      <c r="A38" s="18"/>
      <c r="B38" s="19" t="s">
        <v>41</v>
      </c>
      <c r="C38" s="20" t="s">
        <v>42</v>
      </c>
      <c r="D38" s="21">
        <v>0</v>
      </c>
      <c r="E38" s="22">
        <v>0</v>
      </c>
      <c r="F38" s="23">
        <v>92230</v>
      </c>
      <c r="G38" s="77" t="s">
        <v>325</v>
      </c>
      <c r="H38" s="101"/>
    </row>
    <row r="39" spans="1:8" x14ac:dyDescent="0.25">
      <c r="A39" s="13" t="s">
        <v>54</v>
      </c>
      <c r="B39" s="14" t="s">
        <v>4</v>
      </c>
      <c r="C39" s="15" t="s">
        <v>55</v>
      </c>
      <c r="D39" s="16">
        <v>50000</v>
      </c>
      <c r="E39" s="17">
        <v>50000</v>
      </c>
      <c r="F39" s="16">
        <v>24230</v>
      </c>
      <c r="G39" s="78">
        <f>SUM(G40:G41)</f>
        <v>40000</v>
      </c>
      <c r="H39" s="78"/>
    </row>
    <row r="40" spans="1:8" x14ac:dyDescent="0.25">
      <c r="A40" s="18"/>
      <c r="B40" s="19" t="s">
        <v>7</v>
      </c>
      <c r="C40" s="20" t="s">
        <v>8</v>
      </c>
      <c r="D40" s="21">
        <v>30000</v>
      </c>
      <c r="E40" s="22">
        <v>30000</v>
      </c>
      <c r="F40" s="23">
        <v>16120</v>
      </c>
      <c r="G40" s="83">
        <v>25000</v>
      </c>
      <c r="H40" s="101"/>
    </row>
    <row r="41" spans="1:8" x14ac:dyDescent="0.25">
      <c r="A41" s="18"/>
      <c r="B41" s="19" t="s">
        <v>56</v>
      </c>
      <c r="C41" s="20" t="s">
        <v>57</v>
      </c>
      <c r="D41" s="21">
        <v>20000</v>
      </c>
      <c r="E41" s="22">
        <v>20000</v>
      </c>
      <c r="F41" s="23">
        <v>8110</v>
      </c>
      <c r="G41" s="83">
        <v>15000</v>
      </c>
      <c r="H41" s="101"/>
    </row>
    <row r="42" spans="1:8" x14ac:dyDescent="0.25">
      <c r="A42" s="13" t="s">
        <v>58</v>
      </c>
      <c r="B42" s="14" t="s">
        <v>4</v>
      </c>
      <c r="C42" s="15" t="s">
        <v>59</v>
      </c>
      <c r="D42" s="16">
        <v>55000</v>
      </c>
      <c r="E42" s="17">
        <v>55000</v>
      </c>
      <c r="F42" s="16">
        <v>40722</v>
      </c>
      <c r="G42" s="78">
        <f>SUM(G43:G44)</f>
        <v>80000</v>
      </c>
      <c r="H42" s="78"/>
    </row>
    <row r="43" spans="1:8" x14ac:dyDescent="0.25">
      <c r="A43" s="18"/>
      <c r="B43" s="19" t="s">
        <v>7</v>
      </c>
      <c r="C43" s="20" t="s">
        <v>8</v>
      </c>
      <c r="D43" s="21">
        <v>35000</v>
      </c>
      <c r="E43" s="22">
        <v>35000</v>
      </c>
      <c r="F43" s="23">
        <v>33820</v>
      </c>
      <c r="G43" s="83">
        <v>70000</v>
      </c>
      <c r="H43" s="101" t="s">
        <v>329</v>
      </c>
    </row>
    <row r="44" spans="1:8" x14ac:dyDescent="0.25">
      <c r="A44" s="18"/>
      <c r="B44" s="19" t="s">
        <v>60</v>
      </c>
      <c r="C44" s="20" t="s">
        <v>61</v>
      </c>
      <c r="D44" s="21">
        <v>20000</v>
      </c>
      <c r="E44" s="22">
        <v>20000</v>
      </c>
      <c r="F44" s="23">
        <v>6902</v>
      </c>
      <c r="G44" s="83">
        <v>10000</v>
      </c>
      <c r="H44" s="101"/>
    </row>
    <row r="45" spans="1:8" x14ac:dyDescent="0.25">
      <c r="A45" s="13" t="s">
        <v>62</v>
      </c>
      <c r="B45" s="14" t="s">
        <v>4</v>
      </c>
      <c r="C45" s="15" t="s">
        <v>63</v>
      </c>
      <c r="D45" s="16">
        <v>200000</v>
      </c>
      <c r="E45" s="17">
        <v>200000</v>
      </c>
      <c r="F45" s="16">
        <v>176121.60000000001</v>
      </c>
      <c r="G45" s="78">
        <f>SUM(G46)</f>
        <v>240000</v>
      </c>
      <c r="H45" s="78"/>
    </row>
    <row r="46" spans="1:8" x14ac:dyDescent="0.25">
      <c r="A46" s="18"/>
      <c r="B46" s="19" t="s">
        <v>7</v>
      </c>
      <c r="C46" s="20" t="s">
        <v>8</v>
      </c>
      <c r="D46" s="21">
        <v>200000</v>
      </c>
      <c r="E46" s="22">
        <v>200000</v>
      </c>
      <c r="F46" s="23">
        <v>176121.60000000001</v>
      </c>
      <c r="G46" s="83">
        <v>240000</v>
      </c>
      <c r="H46" s="101"/>
    </row>
    <row r="47" spans="1:8" x14ac:dyDescent="0.25">
      <c r="A47" s="13" t="s">
        <v>64</v>
      </c>
      <c r="B47" s="14" t="s">
        <v>4</v>
      </c>
      <c r="C47" s="15" t="s">
        <v>65</v>
      </c>
      <c r="D47" s="16">
        <v>40000</v>
      </c>
      <c r="E47" s="17">
        <v>60000</v>
      </c>
      <c r="F47" s="16">
        <v>99700</v>
      </c>
      <c r="G47" s="78">
        <f>SUM(G48:G49)</f>
        <v>90000</v>
      </c>
      <c r="H47" s="78"/>
    </row>
    <row r="48" spans="1:8" x14ac:dyDescent="0.25">
      <c r="A48" s="18"/>
      <c r="B48" s="19" t="s">
        <v>7</v>
      </c>
      <c r="C48" s="20" t="s">
        <v>8</v>
      </c>
      <c r="D48" s="21">
        <v>40000</v>
      </c>
      <c r="E48" s="22">
        <v>40000</v>
      </c>
      <c r="F48" s="23">
        <v>79700</v>
      </c>
      <c r="G48" s="83">
        <v>90000</v>
      </c>
      <c r="H48" s="101" t="s">
        <v>330</v>
      </c>
    </row>
    <row r="49" spans="1:8" x14ac:dyDescent="0.25">
      <c r="A49" s="18"/>
      <c r="B49" s="19" t="s">
        <v>39</v>
      </c>
      <c r="C49" s="20" t="s">
        <v>40</v>
      </c>
      <c r="D49" s="21">
        <v>0</v>
      </c>
      <c r="E49" s="22">
        <v>20000</v>
      </c>
      <c r="F49" s="23">
        <v>20000</v>
      </c>
      <c r="G49" s="77" t="s">
        <v>325</v>
      </c>
      <c r="H49" s="101"/>
    </row>
    <row r="50" spans="1:8" x14ac:dyDescent="0.25">
      <c r="A50" s="13" t="s">
        <v>66</v>
      </c>
      <c r="B50" s="14" t="s">
        <v>4</v>
      </c>
      <c r="C50" s="15" t="s">
        <v>67</v>
      </c>
      <c r="D50" s="16">
        <v>100000</v>
      </c>
      <c r="E50" s="17">
        <v>200000</v>
      </c>
      <c r="F50" s="16">
        <v>200000</v>
      </c>
      <c r="G50" s="78">
        <f>SUM(G51)</f>
        <v>0</v>
      </c>
      <c r="H50" s="78"/>
    </row>
    <row r="51" spans="1:8" x14ac:dyDescent="0.25">
      <c r="A51" s="18"/>
      <c r="B51" s="19" t="s">
        <v>39</v>
      </c>
      <c r="C51" s="20" t="s">
        <v>40</v>
      </c>
      <c r="D51" s="21">
        <v>100000</v>
      </c>
      <c r="E51" s="22">
        <v>200000</v>
      </c>
      <c r="F51" s="23">
        <v>200000</v>
      </c>
      <c r="G51" s="83">
        <v>0</v>
      </c>
      <c r="H51" s="101" t="s">
        <v>471</v>
      </c>
    </row>
    <row r="52" spans="1:8" x14ac:dyDescent="0.25">
      <c r="A52" s="13" t="s">
        <v>68</v>
      </c>
      <c r="B52" s="14" t="s">
        <v>4</v>
      </c>
      <c r="C52" s="15" t="s">
        <v>69</v>
      </c>
      <c r="D52" s="16">
        <v>3906275</v>
      </c>
      <c r="E52" s="17">
        <v>3906275</v>
      </c>
      <c r="F52" s="16">
        <v>3726547.71</v>
      </c>
      <c r="G52" s="78">
        <f>SUM(G53)</f>
        <v>4296902.5</v>
      </c>
      <c r="H52" s="78"/>
    </row>
    <row r="53" spans="1:8" x14ac:dyDescent="0.25">
      <c r="A53" s="18"/>
      <c r="B53" s="19" t="s">
        <v>47</v>
      </c>
      <c r="C53" s="20" t="s">
        <v>48</v>
      </c>
      <c r="D53" s="21">
        <v>3906275</v>
      </c>
      <c r="E53" s="22">
        <v>3906275</v>
      </c>
      <c r="F53" s="23">
        <v>3354479</v>
      </c>
      <c r="G53" s="83">
        <f>E53*1.1</f>
        <v>4296902.5</v>
      </c>
      <c r="H53" s="101" t="s">
        <v>338</v>
      </c>
    </row>
    <row r="54" spans="1:8" x14ac:dyDescent="0.25">
      <c r="A54" s="18"/>
      <c r="B54" s="19" t="s">
        <v>41</v>
      </c>
      <c r="C54" s="20" t="s">
        <v>42</v>
      </c>
      <c r="D54" s="21">
        <v>0</v>
      </c>
      <c r="E54" s="22">
        <v>0</v>
      </c>
      <c r="F54" s="23">
        <v>372068.71</v>
      </c>
      <c r="G54" s="77" t="s">
        <v>325</v>
      </c>
      <c r="H54" s="101"/>
    </row>
    <row r="55" spans="1:8" x14ac:dyDescent="0.25">
      <c r="A55" s="13" t="s">
        <v>70</v>
      </c>
      <c r="B55" s="14" t="s">
        <v>4</v>
      </c>
      <c r="C55" s="15" t="s">
        <v>71</v>
      </c>
      <c r="D55" s="16">
        <v>1200000</v>
      </c>
      <c r="E55" s="17">
        <v>1200000</v>
      </c>
      <c r="F55" s="16">
        <v>1466205.84</v>
      </c>
      <c r="G55" s="78">
        <f>SUM(G56)</f>
        <v>1650000.0000000002</v>
      </c>
      <c r="H55" s="78"/>
    </row>
    <row r="56" spans="1:8" x14ac:dyDescent="0.25">
      <c r="A56" s="18"/>
      <c r="B56" s="19" t="s">
        <v>47</v>
      </c>
      <c r="C56" s="20" t="s">
        <v>48</v>
      </c>
      <c r="D56" s="21">
        <v>1200000</v>
      </c>
      <c r="E56" s="22">
        <v>1200000</v>
      </c>
      <c r="F56" s="23">
        <v>1315463.5</v>
      </c>
      <c r="G56" s="83">
        <f>1500000*1.1</f>
        <v>1650000.0000000002</v>
      </c>
      <c r="H56" s="101" t="s">
        <v>338</v>
      </c>
    </row>
    <row r="57" spans="1:8" x14ac:dyDescent="0.25">
      <c r="A57" s="18"/>
      <c r="B57" s="19" t="s">
        <v>41</v>
      </c>
      <c r="C57" s="20" t="s">
        <v>42</v>
      </c>
      <c r="D57" s="21">
        <v>0</v>
      </c>
      <c r="E57" s="22">
        <v>0</v>
      </c>
      <c r="F57" s="23">
        <v>150742.34</v>
      </c>
      <c r="G57" s="77" t="s">
        <v>325</v>
      </c>
      <c r="H57" s="101"/>
    </row>
    <row r="58" spans="1:8" x14ac:dyDescent="0.25">
      <c r="A58" s="13" t="s">
        <v>72</v>
      </c>
      <c r="B58" s="14" t="s">
        <v>4</v>
      </c>
      <c r="C58" s="15" t="s">
        <v>73</v>
      </c>
      <c r="D58" s="16">
        <v>65000</v>
      </c>
      <c r="E58" s="17">
        <v>65000</v>
      </c>
      <c r="F58" s="16">
        <v>55357.5</v>
      </c>
      <c r="G58" s="78">
        <f>SUM(G59)</f>
        <v>65000</v>
      </c>
      <c r="H58" s="78"/>
    </row>
    <row r="59" spans="1:8" x14ac:dyDescent="0.25">
      <c r="A59" s="18"/>
      <c r="B59" s="19" t="s">
        <v>7</v>
      </c>
      <c r="C59" s="20" t="s">
        <v>8</v>
      </c>
      <c r="D59" s="21">
        <v>65000</v>
      </c>
      <c r="E59" s="22">
        <v>65000</v>
      </c>
      <c r="F59" s="23">
        <v>55357.5</v>
      </c>
      <c r="G59" s="83">
        <v>65000</v>
      </c>
      <c r="H59" s="101"/>
    </row>
    <row r="60" spans="1:8" x14ac:dyDescent="0.25">
      <c r="A60" s="13" t="s">
        <v>74</v>
      </c>
      <c r="B60" s="14" t="s">
        <v>4</v>
      </c>
      <c r="C60" s="15" t="s">
        <v>75</v>
      </c>
      <c r="D60" s="16">
        <v>189000</v>
      </c>
      <c r="E60" s="17">
        <v>189000</v>
      </c>
      <c r="F60" s="16">
        <v>213103</v>
      </c>
      <c r="G60" s="78">
        <f>SUM(G61:G63)</f>
        <v>319000</v>
      </c>
      <c r="H60" s="78"/>
    </row>
    <row r="61" spans="1:8" x14ac:dyDescent="0.25">
      <c r="A61" s="18"/>
      <c r="B61" s="19" t="s">
        <v>7</v>
      </c>
      <c r="C61" s="20" t="s">
        <v>8</v>
      </c>
      <c r="D61" s="21">
        <v>170000</v>
      </c>
      <c r="E61" s="22">
        <v>170000</v>
      </c>
      <c r="F61" s="23">
        <v>156800</v>
      </c>
      <c r="G61" s="83">
        <v>300000</v>
      </c>
      <c r="H61" s="101" t="s">
        <v>331</v>
      </c>
    </row>
    <row r="62" spans="1:8" x14ac:dyDescent="0.25">
      <c r="A62" s="18"/>
      <c r="B62" s="19" t="s">
        <v>47</v>
      </c>
      <c r="C62" s="20" t="s">
        <v>48</v>
      </c>
      <c r="D62" s="21">
        <v>19000</v>
      </c>
      <c r="E62" s="22">
        <v>19000</v>
      </c>
      <c r="F62" s="23">
        <v>12075</v>
      </c>
      <c r="G62" s="83">
        <v>19000</v>
      </c>
      <c r="H62" s="101" t="s">
        <v>332</v>
      </c>
    </row>
    <row r="63" spans="1:8" x14ac:dyDescent="0.25">
      <c r="A63" s="18"/>
      <c r="B63" s="19" t="s">
        <v>41</v>
      </c>
      <c r="C63" s="20" t="s">
        <v>42</v>
      </c>
      <c r="D63" s="21">
        <v>0</v>
      </c>
      <c r="E63" s="22">
        <v>0</v>
      </c>
      <c r="F63" s="23">
        <v>44228</v>
      </c>
      <c r="G63" s="77" t="s">
        <v>325</v>
      </c>
      <c r="H63" s="101"/>
    </row>
    <row r="64" spans="1:8" x14ac:dyDescent="0.25">
      <c r="A64" s="13" t="s">
        <v>76</v>
      </c>
      <c r="B64" s="14" t="s">
        <v>4</v>
      </c>
      <c r="C64" s="15" t="s">
        <v>77</v>
      </c>
      <c r="D64" s="16">
        <v>6692528</v>
      </c>
      <c r="E64" s="17">
        <v>8537528</v>
      </c>
      <c r="F64" s="16">
        <v>5452903.1799999997</v>
      </c>
      <c r="G64" s="78">
        <f>SUM(G65:G69)</f>
        <v>9972587</v>
      </c>
      <c r="H64" s="78"/>
    </row>
    <row r="65" spans="1:8" x14ac:dyDescent="0.25">
      <c r="A65" s="18"/>
      <c r="B65" s="19" t="s">
        <v>56</v>
      </c>
      <c r="C65" s="20" t="s">
        <v>57</v>
      </c>
      <c r="D65" s="21">
        <v>500000</v>
      </c>
      <c r="E65" s="22">
        <v>500000</v>
      </c>
      <c r="F65" s="23">
        <v>15246</v>
      </c>
      <c r="G65" s="83">
        <v>150000</v>
      </c>
      <c r="H65" s="101" t="s">
        <v>333</v>
      </c>
    </row>
    <row r="66" spans="1:8" x14ac:dyDescent="0.25">
      <c r="A66" s="18"/>
      <c r="B66" s="19" t="s">
        <v>78</v>
      </c>
      <c r="C66" s="20" t="s">
        <v>79</v>
      </c>
      <c r="D66" s="21">
        <v>650000</v>
      </c>
      <c r="E66" s="22">
        <v>650000</v>
      </c>
      <c r="F66" s="23">
        <v>569031.84</v>
      </c>
      <c r="G66" s="83">
        <f>E66*1.1</f>
        <v>715000</v>
      </c>
      <c r="H66" s="101" t="s">
        <v>338</v>
      </c>
    </row>
    <row r="67" spans="1:8" x14ac:dyDescent="0.25">
      <c r="A67" s="18"/>
      <c r="B67" s="19" t="s">
        <v>47</v>
      </c>
      <c r="C67" s="20" t="s">
        <v>48</v>
      </c>
      <c r="D67" s="21">
        <v>5142528</v>
      </c>
      <c r="E67" s="22">
        <v>5142528</v>
      </c>
      <c r="F67" s="23">
        <v>2834995.34</v>
      </c>
      <c r="G67" s="83">
        <f>6040947+150000+1916640</f>
        <v>8107587</v>
      </c>
      <c r="H67" s="101" t="s">
        <v>470</v>
      </c>
    </row>
    <row r="68" spans="1:8" x14ac:dyDescent="0.25">
      <c r="A68" s="18"/>
      <c r="B68" s="19" t="s">
        <v>52</v>
      </c>
      <c r="C68" s="20" t="s">
        <v>80</v>
      </c>
      <c r="D68" s="21">
        <v>400000</v>
      </c>
      <c r="E68" s="22">
        <v>2215000</v>
      </c>
      <c r="F68" s="23">
        <v>2003630</v>
      </c>
      <c r="G68" s="83">
        <v>1000000</v>
      </c>
      <c r="H68" s="101"/>
    </row>
    <row r="69" spans="1:8" x14ac:dyDescent="0.25">
      <c r="A69" s="18"/>
      <c r="B69" s="19" t="s">
        <v>81</v>
      </c>
      <c r="C69" s="20" t="s">
        <v>82</v>
      </c>
      <c r="D69" s="21">
        <v>0</v>
      </c>
      <c r="E69" s="22">
        <v>30000</v>
      </c>
      <c r="F69" s="23">
        <v>30000</v>
      </c>
      <c r="G69" s="77" t="s">
        <v>325</v>
      </c>
      <c r="H69" s="101"/>
    </row>
    <row r="70" spans="1:8" x14ac:dyDescent="0.25">
      <c r="A70" s="13" t="s">
        <v>83</v>
      </c>
      <c r="B70" s="14" t="s">
        <v>4</v>
      </c>
      <c r="C70" s="15" t="s">
        <v>84</v>
      </c>
      <c r="D70" s="16">
        <v>1950000</v>
      </c>
      <c r="E70" s="17">
        <v>1950000</v>
      </c>
      <c r="F70" s="16">
        <v>1750626.48</v>
      </c>
      <c r="G70" s="78">
        <f>SUM(G71)</f>
        <v>2145000</v>
      </c>
      <c r="H70" s="78"/>
    </row>
    <row r="71" spans="1:8" x14ac:dyDescent="0.25">
      <c r="A71" s="18"/>
      <c r="B71" s="19" t="s">
        <v>7</v>
      </c>
      <c r="C71" s="20" t="s">
        <v>8</v>
      </c>
      <c r="D71" s="21">
        <v>1950000</v>
      </c>
      <c r="E71" s="22">
        <v>1950000</v>
      </c>
      <c r="F71" s="23">
        <v>1750626.48</v>
      </c>
      <c r="G71" s="83">
        <f>E71*1.1</f>
        <v>2145000</v>
      </c>
      <c r="H71" s="101"/>
    </row>
    <row r="72" spans="1:8" x14ac:dyDescent="0.25">
      <c r="A72" s="13" t="s">
        <v>85</v>
      </c>
      <c r="B72" s="14" t="s">
        <v>4</v>
      </c>
      <c r="C72" s="15" t="s">
        <v>86</v>
      </c>
      <c r="D72" s="16">
        <v>0</v>
      </c>
      <c r="E72" s="17">
        <v>6000</v>
      </c>
      <c r="F72" s="16">
        <v>6000</v>
      </c>
      <c r="G72" s="78" t="s">
        <v>325</v>
      </c>
      <c r="H72" s="78"/>
    </row>
    <row r="73" spans="1:8" x14ac:dyDescent="0.25">
      <c r="A73" s="18"/>
      <c r="B73" s="19" t="s">
        <v>39</v>
      </c>
      <c r="C73" s="20" t="s">
        <v>40</v>
      </c>
      <c r="D73" s="21">
        <v>0</v>
      </c>
      <c r="E73" s="22">
        <v>6000</v>
      </c>
      <c r="F73" s="23">
        <v>6000</v>
      </c>
      <c r="G73" s="77" t="s">
        <v>325</v>
      </c>
      <c r="H73" s="101"/>
    </row>
    <row r="74" spans="1:8" x14ac:dyDescent="0.25">
      <c r="A74" s="13" t="s">
        <v>101</v>
      </c>
      <c r="B74" s="14" t="s">
        <v>4</v>
      </c>
      <c r="C74" s="15" t="s">
        <v>102</v>
      </c>
      <c r="D74" s="16">
        <v>1160000</v>
      </c>
      <c r="E74" s="17">
        <v>1160000</v>
      </c>
      <c r="F74" s="16">
        <v>866900</v>
      </c>
      <c r="G74" s="78">
        <f>SUM(G75:G76)</f>
        <v>1190000</v>
      </c>
      <c r="H74" s="78"/>
    </row>
    <row r="75" spans="1:8" x14ac:dyDescent="0.25">
      <c r="A75" s="18"/>
      <c r="B75" s="19" t="s">
        <v>7</v>
      </c>
      <c r="C75" s="20" t="s">
        <v>8</v>
      </c>
      <c r="D75" s="21">
        <v>240000</v>
      </c>
      <c r="E75" s="22">
        <v>240000</v>
      </c>
      <c r="F75" s="23">
        <v>140085</v>
      </c>
      <c r="G75" s="83">
        <v>250000</v>
      </c>
      <c r="H75" s="101" t="s">
        <v>334</v>
      </c>
    </row>
    <row r="76" spans="1:8" x14ac:dyDescent="0.25">
      <c r="A76" s="18"/>
      <c r="B76" s="19" t="s">
        <v>56</v>
      </c>
      <c r="C76" s="20" t="s">
        <v>57</v>
      </c>
      <c r="D76" s="21">
        <v>920000</v>
      </c>
      <c r="E76" s="22">
        <v>920000</v>
      </c>
      <c r="F76" s="23">
        <v>726815</v>
      </c>
      <c r="G76" s="83">
        <v>940000</v>
      </c>
      <c r="H76" s="101" t="s">
        <v>335</v>
      </c>
    </row>
    <row r="77" spans="1:8" x14ac:dyDescent="0.25">
      <c r="A77" s="13" t="s">
        <v>103</v>
      </c>
      <c r="B77" s="14" t="s">
        <v>4</v>
      </c>
      <c r="C77" s="15" t="s">
        <v>104</v>
      </c>
      <c r="D77" s="16">
        <v>140000</v>
      </c>
      <c r="E77" s="17">
        <v>140000</v>
      </c>
      <c r="F77" s="16">
        <v>39500</v>
      </c>
      <c r="G77" s="78">
        <f>SUM(G78)</f>
        <v>100000</v>
      </c>
      <c r="H77" s="78"/>
    </row>
    <row r="78" spans="1:8" x14ac:dyDescent="0.25">
      <c r="A78" s="18"/>
      <c r="B78" s="19" t="s">
        <v>37</v>
      </c>
      <c r="C78" s="20" t="s">
        <v>105</v>
      </c>
      <c r="D78" s="21">
        <v>140000</v>
      </c>
      <c r="E78" s="22">
        <v>140000</v>
      </c>
      <c r="F78" s="23">
        <v>39500</v>
      </c>
      <c r="G78" s="83">
        <v>100000</v>
      </c>
      <c r="H78" s="101" t="s">
        <v>336</v>
      </c>
    </row>
    <row r="79" spans="1:8" x14ac:dyDescent="0.25">
      <c r="A79" s="13" t="s">
        <v>106</v>
      </c>
      <c r="B79" s="14" t="s">
        <v>4</v>
      </c>
      <c r="C79" s="15" t="s">
        <v>107</v>
      </c>
      <c r="D79" s="16">
        <v>800000</v>
      </c>
      <c r="E79" s="17">
        <v>800000</v>
      </c>
      <c r="F79" s="16">
        <v>0</v>
      </c>
      <c r="G79" s="78" t="s">
        <v>325</v>
      </c>
      <c r="H79" s="78"/>
    </row>
    <row r="80" spans="1:8" x14ac:dyDescent="0.25">
      <c r="A80" s="18"/>
      <c r="B80" s="19" t="s">
        <v>108</v>
      </c>
      <c r="C80" s="20" t="s">
        <v>109</v>
      </c>
      <c r="D80" s="21">
        <v>800000</v>
      </c>
      <c r="E80" s="22">
        <v>800000</v>
      </c>
      <c r="F80" s="23">
        <v>0</v>
      </c>
      <c r="G80" s="79" t="s">
        <v>325</v>
      </c>
      <c r="H80" s="101"/>
    </row>
    <row r="81" spans="1:10" x14ac:dyDescent="0.25">
      <c r="A81" s="13" t="s">
        <v>110</v>
      </c>
      <c r="B81" s="14" t="s">
        <v>4</v>
      </c>
      <c r="C81" s="15" t="s">
        <v>111</v>
      </c>
      <c r="D81" s="16">
        <v>150000</v>
      </c>
      <c r="E81" s="17">
        <v>1329080</v>
      </c>
      <c r="F81" s="16">
        <v>1210718.6200000001</v>
      </c>
      <c r="G81" s="78">
        <f>SUM(G82:G87)</f>
        <v>85000</v>
      </c>
      <c r="H81" s="78"/>
    </row>
    <row r="82" spans="1:10" x14ac:dyDescent="0.25">
      <c r="A82" s="18"/>
      <c r="B82" s="19" t="s">
        <v>7</v>
      </c>
      <c r="C82" s="20" t="s">
        <v>8</v>
      </c>
      <c r="D82" s="21">
        <v>30000</v>
      </c>
      <c r="E82" s="22">
        <v>30000</v>
      </c>
      <c r="F82" s="23">
        <v>1586</v>
      </c>
      <c r="G82" s="83">
        <v>10000</v>
      </c>
      <c r="H82" s="101"/>
    </row>
    <row r="83" spans="1:10" x14ac:dyDescent="0.25">
      <c r="A83" s="18"/>
      <c r="B83" s="19" t="s">
        <v>60</v>
      </c>
      <c r="C83" s="20" t="s">
        <v>61</v>
      </c>
      <c r="D83" s="21">
        <v>20000</v>
      </c>
      <c r="E83" s="22">
        <v>20000</v>
      </c>
      <c r="F83" s="23">
        <v>6628.94</v>
      </c>
      <c r="G83" s="83">
        <v>10000</v>
      </c>
      <c r="H83" s="101"/>
    </row>
    <row r="84" spans="1:10" x14ac:dyDescent="0.25">
      <c r="A84" s="18"/>
      <c r="B84" s="19" t="s">
        <v>112</v>
      </c>
      <c r="C84" s="20" t="s">
        <v>113</v>
      </c>
      <c r="D84" s="21">
        <v>15000</v>
      </c>
      <c r="E84" s="22">
        <v>15000</v>
      </c>
      <c r="F84" s="23">
        <v>7200</v>
      </c>
      <c r="G84" s="83">
        <v>10000</v>
      </c>
      <c r="H84" s="101"/>
    </row>
    <row r="85" spans="1:10" x14ac:dyDescent="0.25">
      <c r="A85" s="18"/>
      <c r="B85" s="19" t="s">
        <v>37</v>
      </c>
      <c r="C85" s="20" t="s">
        <v>105</v>
      </c>
      <c r="D85" s="21">
        <v>50000</v>
      </c>
      <c r="E85" s="22">
        <v>50000</v>
      </c>
      <c r="F85" s="23">
        <v>14500</v>
      </c>
      <c r="G85" s="83">
        <v>20000</v>
      </c>
      <c r="H85" s="101"/>
    </row>
    <row r="86" spans="1:10" x14ac:dyDescent="0.25">
      <c r="A86" s="18"/>
      <c r="B86" s="19" t="s">
        <v>39</v>
      </c>
      <c r="C86" s="20" t="s">
        <v>40</v>
      </c>
      <c r="D86" s="21">
        <v>0</v>
      </c>
      <c r="E86" s="22">
        <v>140000</v>
      </c>
      <c r="F86" s="23">
        <v>135000</v>
      </c>
      <c r="G86" s="83" t="s">
        <v>325</v>
      </c>
      <c r="H86" s="101"/>
    </row>
    <row r="87" spans="1:10" x14ac:dyDescent="0.25">
      <c r="A87" s="18"/>
      <c r="B87" s="19" t="s">
        <v>41</v>
      </c>
      <c r="C87" s="20" t="s">
        <v>42</v>
      </c>
      <c r="D87" s="21">
        <v>35000</v>
      </c>
      <c r="E87" s="22">
        <v>1074080</v>
      </c>
      <c r="F87" s="23">
        <v>1045803.68</v>
      </c>
      <c r="G87" s="83">
        <v>35000</v>
      </c>
      <c r="H87" s="101"/>
    </row>
    <row r="88" spans="1:10" x14ac:dyDescent="0.25">
      <c r="A88" s="13" t="s">
        <v>114</v>
      </c>
      <c r="B88" s="14" t="s">
        <v>4</v>
      </c>
      <c r="C88" s="15" t="s">
        <v>115</v>
      </c>
      <c r="D88" s="16">
        <v>10000</v>
      </c>
      <c r="E88" s="17">
        <v>10000</v>
      </c>
      <c r="F88" s="16">
        <v>1779.11</v>
      </c>
      <c r="G88" s="78">
        <f>G89</f>
        <v>900000</v>
      </c>
      <c r="H88" s="78"/>
    </row>
    <row r="89" spans="1:10" x14ac:dyDescent="0.25">
      <c r="A89" s="18"/>
      <c r="B89" s="19" t="s">
        <v>116</v>
      </c>
      <c r="C89" s="20" t="s">
        <v>117</v>
      </c>
      <c r="D89" s="21">
        <v>10000</v>
      </c>
      <c r="E89" s="22">
        <v>10000</v>
      </c>
      <c r="F89" s="23">
        <v>1779.11</v>
      </c>
      <c r="G89" s="130">
        <v>900000</v>
      </c>
      <c r="H89" s="101" t="s">
        <v>431</v>
      </c>
      <c r="J89"/>
    </row>
    <row r="90" spans="1:10" x14ac:dyDescent="0.25">
      <c r="A90" s="13">
        <v>6330</v>
      </c>
      <c r="B90" s="14"/>
      <c r="C90" s="15" t="s">
        <v>320</v>
      </c>
      <c r="D90" s="16">
        <v>0</v>
      </c>
      <c r="E90" s="17">
        <v>0</v>
      </c>
      <c r="F90" s="16">
        <v>45360</v>
      </c>
      <c r="G90" s="78" t="s">
        <v>325</v>
      </c>
      <c r="H90" s="78"/>
      <c r="J90"/>
    </row>
    <row r="91" spans="1:10" x14ac:dyDescent="0.25">
      <c r="A91" s="18"/>
      <c r="B91" s="72">
        <v>4140</v>
      </c>
      <c r="C91" s="20" t="s">
        <v>321</v>
      </c>
      <c r="D91" s="21">
        <v>0</v>
      </c>
      <c r="E91" s="22">
        <v>0</v>
      </c>
      <c r="F91" s="23">
        <v>45360</v>
      </c>
      <c r="G91" s="77" t="s">
        <v>325</v>
      </c>
      <c r="H91" s="101"/>
      <c r="J91"/>
    </row>
    <row r="92" spans="1:10" x14ac:dyDescent="0.25">
      <c r="A92" s="13" t="s">
        <v>118</v>
      </c>
      <c r="B92" s="14" t="s">
        <v>4</v>
      </c>
      <c r="C92" s="15" t="s">
        <v>119</v>
      </c>
      <c r="D92" s="16">
        <v>0</v>
      </c>
      <c r="E92" s="17">
        <v>13779.15</v>
      </c>
      <c r="F92" s="16">
        <v>15757.15</v>
      </c>
      <c r="G92" s="78" t="s">
        <v>325</v>
      </c>
      <c r="H92" s="78"/>
      <c r="J92"/>
    </row>
    <row r="93" spans="1:10" x14ac:dyDescent="0.25">
      <c r="A93" s="18"/>
      <c r="B93" s="19" t="s">
        <v>120</v>
      </c>
      <c r="C93" s="20" t="s">
        <v>121</v>
      </c>
      <c r="D93" s="21">
        <v>0</v>
      </c>
      <c r="E93" s="22">
        <v>13779.15</v>
      </c>
      <c r="F93" s="23">
        <v>15757.15</v>
      </c>
      <c r="G93" s="77" t="s">
        <v>325</v>
      </c>
      <c r="H93" s="101"/>
      <c r="J93"/>
    </row>
    <row r="94" spans="1:10" x14ac:dyDescent="0.25">
      <c r="A94" s="24" t="s">
        <v>277</v>
      </c>
      <c r="B94" s="24" t="s">
        <v>4</v>
      </c>
      <c r="C94" s="25" t="s">
        <v>4</v>
      </c>
      <c r="D94" s="26">
        <v>234667750</v>
      </c>
      <c r="E94" s="26">
        <v>257545007.61000001</v>
      </c>
      <c r="F94" s="26">
        <f>SUM(F2:F22)+F23+F25+F28+F30+F32+F35+F37+F39+F42+F45+F47+F50+F52+F55+F58+F60+F64+F70+F72+F74+F77+F79+F81+F88+F92+F90</f>
        <v>194650933.04000008</v>
      </c>
      <c r="G94" s="80">
        <f>SUM(G2:G22)+G23+G30+G32+G35+G39+G42+G45+G47+G52+G55+G58+G60+G64+G70+G74+G77+G81+G88+G50</f>
        <v>250853616.88999999</v>
      </c>
      <c r="H94" s="102"/>
      <c r="J94"/>
    </row>
    <row r="95" spans="1:10" x14ac:dyDescent="0.25">
      <c r="A95" s="27"/>
      <c r="B95" s="28">
        <v>8124</v>
      </c>
      <c r="C95" s="29" t="s">
        <v>278</v>
      </c>
      <c r="D95" s="30">
        <v>-14476966</v>
      </c>
      <c r="E95" s="30">
        <v>-20476966</v>
      </c>
      <c r="F95" s="30">
        <v>-10857751.199999999</v>
      </c>
      <c r="G95" s="30">
        <v>-14477002</v>
      </c>
      <c r="H95" s="110" t="s">
        <v>455</v>
      </c>
      <c r="J95"/>
    </row>
    <row r="96" spans="1:10" ht="27" thickBot="1" x14ac:dyDescent="0.3">
      <c r="A96" s="31"/>
      <c r="B96" s="32">
        <v>8115</v>
      </c>
      <c r="C96" s="33" t="s">
        <v>279</v>
      </c>
      <c r="D96" s="34">
        <v>17650000</v>
      </c>
      <c r="E96" s="34">
        <v>24862809.140000001</v>
      </c>
      <c r="F96" s="34">
        <v>-16062797.92</v>
      </c>
      <c r="G96" s="34">
        <v>37500000</v>
      </c>
      <c r="H96" s="113" t="s">
        <v>472</v>
      </c>
      <c r="J96"/>
    </row>
    <row r="97" spans="1:10" ht="16.5" thickTop="1" thickBot="1" x14ac:dyDescent="0.3">
      <c r="A97" s="35" t="s">
        <v>280</v>
      </c>
      <c r="B97" s="31"/>
      <c r="C97" s="33"/>
      <c r="D97" s="36">
        <f>D94++D95+D96</f>
        <v>237840784</v>
      </c>
      <c r="E97" s="36">
        <f>E94+E95+E96</f>
        <v>261930850.75</v>
      </c>
      <c r="F97" s="36">
        <f>F94+F95+F96</f>
        <v>167730383.92000011</v>
      </c>
      <c r="G97" s="36">
        <f>G94++G95+G96</f>
        <v>273876614.88999999</v>
      </c>
      <c r="H97" s="103"/>
      <c r="J97"/>
    </row>
    <row r="98" spans="1:10" ht="15.75" thickTop="1" x14ac:dyDescent="0.25"/>
    <row r="99" spans="1:10" x14ac:dyDescent="0.25">
      <c r="F99" s="2"/>
    </row>
    <row r="100" spans="1:10" x14ac:dyDescent="0.25">
      <c r="A100" s="1"/>
      <c r="B100" s="1"/>
      <c r="C100" s="1"/>
      <c r="D100" s="2"/>
      <c r="E100" s="2"/>
      <c r="F100" s="42"/>
    </row>
    <row r="101" spans="1:10" x14ac:dyDescent="0.25">
      <c r="A101" s="1"/>
      <c r="B101" s="1"/>
      <c r="C101" s="1"/>
      <c r="D101" s="2"/>
      <c r="E101" s="2"/>
      <c r="F101" s="42"/>
    </row>
    <row r="102" spans="1:10" x14ac:dyDescent="0.25">
      <c r="A102" s="1"/>
      <c r="B102" s="1"/>
      <c r="C102" s="1"/>
      <c r="D102" s="2"/>
      <c r="E102" s="2"/>
      <c r="F102" s="2"/>
    </row>
    <row r="103" spans="1:10" x14ac:dyDescent="0.25">
      <c r="A103" s="1"/>
      <c r="B103" s="1"/>
      <c r="C103" s="1"/>
      <c r="D103" s="2"/>
      <c r="E103" s="2"/>
      <c r="F103" s="42"/>
    </row>
  </sheetData>
  <mergeCells count="1">
    <mergeCell ref="H2:H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04"/>
  <sheetViews>
    <sheetView tabSelected="1" zoomScaleNormal="100" workbookViewId="0">
      <selection activeCell="J232" sqref="J232"/>
    </sheetView>
  </sheetViews>
  <sheetFormatPr defaultRowHeight="15" x14ac:dyDescent="0.25"/>
  <cols>
    <col min="1" max="1" width="8.7109375" customWidth="1"/>
    <col min="2" max="2" width="7.28515625" customWidth="1"/>
    <col min="3" max="3" width="46.28515625" customWidth="1"/>
    <col min="4" max="6" width="16" customWidth="1"/>
    <col min="7" max="7" width="16" style="87" customWidth="1"/>
    <col min="8" max="8" width="50.140625" customWidth="1"/>
    <col min="10" max="10" width="15.85546875" customWidth="1"/>
    <col min="11" max="11" width="15.140625" customWidth="1"/>
  </cols>
  <sheetData>
    <row r="1" spans="1:8" ht="36.75" thickBot="1" x14ac:dyDescent="0.3">
      <c r="A1" s="3" t="s">
        <v>0</v>
      </c>
      <c r="B1" s="3" t="s">
        <v>1</v>
      </c>
      <c r="C1" s="3" t="s">
        <v>2</v>
      </c>
      <c r="D1" s="4" t="s">
        <v>3</v>
      </c>
      <c r="E1" s="4" t="s">
        <v>275</v>
      </c>
      <c r="F1" s="4" t="s">
        <v>276</v>
      </c>
      <c r="G1" s="73" t="s">
        <v>322</v>
      </c>
      <c r="H1" s="73" t="s">
        <v>323</v>
      </c>
    </row>
    <row r="2" spans="1:8" ht="15.75" thickTop="1" x14ac:dyDescent="0.25">
      <c r="A2" s="13" t="s">
        <v>37</v>
      </c>
      <c r="B2" s="13" t="s">
        <v>4</v>
      </c>
      <c r="C2" s="14" t="s">
        <v>38</v>
      </c>
      <c r="D2" s="16">
        <v>14786000</v>
      </c>
      <c r="E2" s="16">
        <v>15786000</v>
      </c>
      <c r="F2" s="16">
        <v>12665529.710000001</v>
      </c>
      <c r="G2" s="88">
        <f>SUM(G3:G5)</f>
        <v>17915000</v>
      </c>
      <c r="H2" s="74"/>
    </row>
    <row r="3" spans="1:8" x14ac:dyDescent="0.25">
      <c r="A3" s="18"/>
      <c r="B3" s="18" t="s">
        <v>122</v>
      </c>
      <c r="C3" s="19" t="s">
        <v>123</v>
      </c>
      <c r="D3" s="21">
        <v>50000</v>
      </c>
      <c r="E3" s="21">
        <v>50000</v>
      </c>
      <c r="F3" s="21">
        <v>3978</v>
      </c>
      <c r="G3" s="85">
        <v>10000</v>
      </c>
      <c r="H3" s="75"/>
    </row>
    <row r="4" spans="1:8" ht="72" x14ac:dyDescent="0.25">
      <c r="A4" s="18"/>
      <c r="B4" s="18" t="s">
        <v>124</v>
      </c>
      <c r="C4" s="19" t="s">
        <v>125</v>
      </c>
      <c r="D4" s="21">
        <v>4010000</v>
      </c>
      <c r="E4" s="21">
        <v>5760000</v>
      </c>
      <c r="F4" s="21">
        <v>4371178.12</v>
      </c>
      <c r="G4" s="85">
        <f>800000+1000000+900000+600000+1000000+950000+440000+160000+435000+300000</f>
        <v>6585000</v>
      </c>
      <c r="H4" s="91" t="s">
        <v>476</v>
      </c>
    </row>
    <row r="5" spans="1:8" ht="24" x14ac:dyDescent="0.25">
      <c r="A5" s="18"/>
      <c r="B5" s="18" t="s">
        <v>126</v>
      </c>
      <c r="C5" s="19" t="s">
        <v>127</v>
      </c>
      <c r="D5" s="21">
        <v>10726000</v>
      </c>
      <c r="E5" s="21">
        <v>9976000</v>
      </c>
      <c r="F5" s="21">
        <v>8290373.5899999999</v>
      </c>
      <c r="G5" s="85">
        <f>750000+7800000+200000+100000+270000+2200000</f>
        <v>11320000</v>
      </c>
      <c r="H5" s="91" t="s">
        <v>474</v>
      </c>
    </row>
    <row r="6" spans="1:8" x14ac:dyDescent="0.25">
      <c r="A6" s="13" t="s">
        <v>43</v>
      </c>
      <c r="B6" s="13" t="s">
        <v>4</v>
      </c>
      <c r="C6" s="14" t="s">
        <v>44</v>
      </c>
      <c r="D6" s="16">
        <v>3187512</v>
      </c>
      <c r="E6" s="16">
        <v>3254062</v>
      </c>
      <c r="F6" s="16">
        <v>2202871</v>
      </c>
      <c r="G6" s="88">
        <f>SUM(G7:G9)</f>
        <v>3720009</v>
      </c>
      <c r="H6" s="74"/>
    </row>
    <row r="7" spans="1:8" x14ac:dyDescent="0.25">
      <c r="A7" s="18"/>
      <c r="B7" s="18" t="s">
        <v>124</v>
      </c>
      <c r="C7" s="19" t="s">
        <v>125</v>
      </c>
      <c r="D7" s="21">
        <v>0</v>
      </c>
      <c r="E7" s="21">
        <v>66550</v>
      </c>
      <c r="F7" s="21">
        <v>66550</v>
      </c>
      <c r="G7" s="85" t="s">
        <v>325</v>
      </c>
      <c r="H7" s="75"/>
    </row>
    <row r="8" spans="1:8" ht="24.75" x14ac:dyDescent="0.25">
      <c r="A8" s="18"/>
      <c r="B8" s="18" t="s">
        <v>128</v>
      </c>
      <c r="C8" s="19" t="s">
        <v>129</v>
      </c>
      <c r="D8" s="21">
        <v>3187512</v>
      </c>
      <c r="E8" s="21">
        <v>3187512</v>
      </c>
      <c r="F8" s="21">
        <v>2136321</v>
      </c>
      <c r="G8" s="85">
        <v>3670009</v>
      </c>
      <c r="H8" s="89" t="s">
        <v>433</v>
      </c>
    </row>
    <row r="9" spans="1:8" x14ac:dyDescent="0.25">
      <c r="A9" s="18"/>
      <c r="B9" s="92">
        <v>6121</v>
      </c>
      <c r="C9" s="19" t="s">
        <v>390</v>
      </c>
      <c r="D9" s="21"/>
      <c r="E9" s="21"/>
      <c r="F9" s="21"/>
      <c r="G9" s="85">
        <v>50000</v>
      </c>
      <c r="H9" s="75" t="s">
        <v>391</v>
      </c>
    </row>
    <row r="10" spans="1:8" x14ac:dyDescent="0.25">
      <c r="A10" s="13" t="s">
        <v>120</v>
      </c>
      <c r="B10" s="13" t="s">
        <v>4</v>
      </c>
      <c r="C10" s="14" t="s">
        <v>130</v>
      </c>
      <c r="D10" s="16">
        <v>0</v>
      </c>
      <c r="E10" s="16">
        <v>160000</v>
      </c>
      <c r="F10" s="16">
        <v>159502.20000000001</v>
      </c>
      <c r="G10" s="84"/>
      <c r="H10" s="74"/>
    </row>
    <row r="11" spans="1:8" x14ac:dyDescent="0.25">
      <c r="A11" s="18"/>
      <c r="B11" s="18" t="s">
        <v>126</v>
      </c>
      <c r="C11" s="19" t="s">
        <v>127</v>
      </c>
      <c r="D11" s="21">
        <v>0</v>
      </c>
      <c r="E11" s="21">
        <v>160000</v>
      </c>
      <c r="F11" s="21">
        <v>159502.20000000001</v>
      </c>
      <c r="G11" s="85" t="s">
        <v>325</v>
      </c>
      <c r="H11" s="75"/>
    </row>
    <row r="12" spans="1:8" x14ac:dyDescent="0.25">
      <c r="A12" s="13" t="s">
        <v>45</v>
      </c>
      <c r="B12" s="13" t="s">
        <v>4</v>
      </c>
      <c r="C12" s="14" t="s">
        <v>46</v>
      </c>
      <c r="D12" s="16">
        <v>4978800</v>
      </c>
      <c r="E12" s="16">
        <v>5001800</v>
      </c>
      <c r="F12" s="16">
        <v>2518227.4</v>
      </c>
      <c r="G12" s="88">
        <f>SUM(G13:G15)</f>
        <v>6041300</v>
      </c>
      <c r="H12" s="74"/>
    </row>
    <row r="13" spans="1:8" x14ac:dyDescent="0.25">
      <c r="A13" s="18"/>
      <c r="B13" s="18" t="s">
        <v>131</v>
      </c>
      <c r="C13" s="19" t="s">
        <v>132</v>
      </c>
      <c r="D13" s="21">
        <v>215000</v>
      </c>
      <c r="E13" s="21">
        <v>238000</v>
      </c>
      <c r="F13" s="21">
        <v>237123</v>
      </c>
      <c r="G13" s="85">
        <v>250000</v>
      </c>
      <c r="H13" s="75" t="s">
        <v>393</v>
      </c>
    </row>
    <row r="14" spans="1:8" x14ac:dyDescent="0.25">
      <c r="A14" s="18"/>
      <c r="B14" s="18" t="s">
        <v>124</v>
      </c>
      <c r="C14" s="19" t="s">
        <v>125</v>
      </c>
      <c r="D14" s="21">
        <v>641300</v>
      </c>
      <c r="E14" s="21">
        <v>641300</v>
      </c>
      <c r="F14" s="21">
        <v>0</v>
      </c>
      <c r="G14" s="85">
        <v>641300</v>
      </c>
      <c r="H14" s="75" t="s">
        <v>434</v>
      </c>
    </row>
    <row r="15" spans="1:8" ht="36" x14ac:dyDescent="0.25">
      <c r="A15" s="18"/>
      <c r="B15" s="18" t="s">
        <v>126</v>
      </c>
      <c r="C15" s="19" t="s">
        <v>127</v>
      </c>
      <c r="D15" s="21">
        <v>4122500</v>
      </c>
      <c r="E15" s="21">
        <v>4122500</v>
      </c>
      <c r="F15" s="21">
        <v>2281104.4</v>
      </c>
      <c r="G15" s="85">
        <f>800000+1000000+2000000+950000+400000</f>
        <v>5150000</v>
      </c>
      <c r="H15" s="91" t="s">
        <v>468</v>
      </c>
    </row>
    <row r="16" spans="1:8" x14ac:dyDescent="0.25">
      <c r="A16" s="13" t="s">
        <v>39</v>
      </c>
      <c r="B16" s="13" t="s">
        <v>4</v>
      </c>
      <c r="C16" s="14" t="s">
        <v>49</v>
      </c>
      <c r="D16" s="16">
        <v>1473000</v>
      </c>
      <c r="E16" s="16">
        <v>1620750</v>
      </c>
      <c r="F16" s="16">
        <v>205802.4</v>
      </c>
      <c r="G16" s="88">
        <f>SUM(G17:G20)</f>
        <v>12312950</v>
      </c>
      <c r="H16" s="74"/>
    </row>
    <row r="17" spans="1:8" x14ac:dyDescent="0.25">
      <c r="A17" s="18"/>
      <c r="B17" s="18" t="s">
        <v>133</v>
      </c>
      <c r="C17" s="19" t="s">
        <v>134</v>
      </c>
      <c r="D17" s="21">
        <v>0</v>
      </c>
      <c r="E17" s="21">
        <v>147750</v>
      </c>
      <c r="F17" s="21">
        <v>56313.4</v>
      </c>
      <c r="G17" s="85" t="s">
        <v>325</v>
      </c>
      <c r="H17" s="75"/>
    </row>
    <row r="18" spans="1:8" x14ac:dyDescent="0.25">
      <c r="A18" s="18"/>
      <c r="B18" s="18" t="s">
        <v>124</v>
      </c>
      <c r="C18" s="19" t="s">
        <v>125</v>
      </c>
      <c r="D18" s="21">
        <v>363000</v>
      </c>
      <c r="E18" s="21">
        <v>363000</v>
      </c>
      <c r="F18" s="21">
        <v>0</v>
      </c>
      <c r="G18" s="85">
        <v>356950</v>
      </c>
      <c r="H18" s="75" t="s">
        <v>392</v>
      </c>
    </row>
    <row r="19" spans="1:8" x14ac:dyDescent="0.25">
      <c r="A19" s="18"/>
      <c r="B19" s="18" t="s">
        <v>135</v>
      </c>
      <c r="C19" s="19" t="s">
        <v>136</v>
      </c>
      <c r="D19" s="21">
        <v>300000</v>
      </c>
      <c r="E19" s="21">
        <v>300000</v>
      </c>
      <c r="F19" s="21">
        <v>149489</v>
      </c>
      <c r="G19" s="85">
        <v>250000</v>
      </c>
      <c r="H19" s="75" t="s">
        <v>394</v>
      </c>
    </row>
    <row r="20" spans="1:8" ht="24.75" x14ac:dyDescent="0.25">
      <c r="A20" s="18"/>
      <c r="B20" s="18" t="s">
        <v>126</v>
      </c>
      <c r="C20" s="19" t="s">
        <v>127</v>
      </c>
      <c r="D20" s="21">
        <v>810000</v>
      </c>
      <c r="E20" s="21">
        <v>810000</v>
      </c>
      <c r="F20" s="21">
        <v>0</v>
      </c>
      <c r="G20" s="85">
        <f>9600000+700000+206000+1200000</f>
        <v>11706000</v>
      </c>
      <c r="H20" s="89" t="s">
        <v>460</v>
      </c>
    </row>
    <row r="21" spans="1:8" x14ac:dyDescent="0.25">
      <c r="A21" s="13" t="s">
        <v>50</v>
      </c>
      <c r="B21" s="13" t="s">
        <v>4</v>
      </c>
      <c r="C21" s="14" t="s">
        <v>51</v>
      </c>
      <c r="D21" s="16">
        <v>2430000</v>
      </c>
      <c r="E21" s="16">
        <v>2598190</v>
      </c>
      <c r="F21" s="16">
        <v>636742</v>
      </c>
      <c r="G21" s="88">
        <f>SUM(G22:G23)</f>
        <v>3500000</v>
      </c>
      <c r="H21" s="74"/>
    </row>
    <row r="22" spans="1:8" x14ac:dyDescent="0.25">
      <c r="A22" s="18"/>
      <c r="B22" s="18" t="s">
        <v>133</v>
      </c>
      <c r="C22" s="19" t="s">
        <v>134</v>
      </c>
      <c r="D22" s="21">
        <v>180000</v>
      </c>
      <c r="E22" s="21">
        <v>348190</v>
      </c>
      <c r="F22" s="21">
        <v>87888</v>
      </c>
      <c r="G22" s="85">
        <v>1000000</v>
      </c>
      <c r="H22" s="75" t="s">
        <v>395</v>
      </c>
    </row>
    <row r="23" spans="1:8" x14ac:dyDescent="0.25">
      <c r="A23" s="18"/>
      <c r="B23" s="18" t="s">
        <v>126</v>
      </c>
      <c r="C23" s="19" t="s">
        <v>127</v>
      </c>
      <c r="D23" s="21">
        <v>2250000</v>
      </c>
      <c r="E23" s="21">
        <v>2250000</v>
      </c>
      <c r="F23" s="21">
        <v>548854</v>
      </c>
      <c r="G23" s="85">
        <v>2500000</v>
      </c>
      <c r="H23" s="75" t="s">
        <v>484</v>
      </c>
    </row>
    <row r="24" spans="1:8" x14ac:dyDescent="0.25">
      <c r="A24" s="13" t="s">
        <v>52</v>
      </c>
      <c r="B24" s="13" t="s">
        <v>4</v>
      </c>
      <c r="C24" s="14" t="s">
        <v>53</v>
      </c>
      <c r="D24" s="16">
        <v>8971000</v>
      </c>
      <c r="E24" s="16">
        <v>10700641</v>
      </c>
      <c r="F24" s="16">
        <v>9332887</v>
      </c>
      <c r="G24" s="88">
        <f>SUM(G25:G31)</f>
        <v>11888438</v>
      </c>
      <c r="H24" s="74"/>
    </row>
    <row r="25" spans="1:8" x14ac:dyDescent="0.25">
      <c r="A25" s="18"/>
      <c r="B25" s="18" t="s">
        <v>122</v>
      </c>
      <c r="C25" s="19" t="s">
        <v>123</v>
      </c>
      <c r="D25" s="21">
        <v>0</v>
      </c>
      <c r="E25" s="21">
        <v>0</v>
      </c>
      <c r="F25" s="21">
        <v>-6400</v>
      </c>
      <c r="G25" s="85" t="s">
        <v>325</v>
      </c>
      <c r="H25" s="75"/>
    </row>
    <row r="26" spans="1:8" x14ac:dyDescent="0.25">
      <c r="A26" s="18"/>
      <c r="B26" s="18" t="s">
        <v>137</v>
      </c>
      <c r="C26" s="19" t="s">
        <v>138</v>
      </c>
      <c r="D26" s="21">
        <v>0</v>
      </c>
      <c r="E26" s="21">
        <v>0</v>
      </c>
      <c r="F26" s="21">
        <v>38776</v>
      </c>
      <c r="G26" s="85" t="s">
        <v>325</v>
      </c>
      <c r="H26" s="75"/>
    </row>
    <row r="27" spans="1:8" ht="24.75" x14ac:dyDescent="0.25">
      <c r="A27" s="18"/>
      <c r="B27" s="18" t="s">
        <v>139</v>
      </c>
      <c r="C27" s="19" t="s">
        <v>381</v>
      </c>
      <c r="D27" s="21"/>
      <c r="E27" s="21"/>
      <c r="F27" s="21">
        <v>2690000</v>
      </c>
      <c r="G27" s="85">
        <f>2005208+500000+300000+290000</f>
        <v>3095208</v>
      </c>
      <c r="H27" s="91" t="s">
        <v>443</v>
      </c>
    </row>
    <row r="28" spans="1:8" ht="24.75" x14ac:dyDescent="0.25">
      <c r="A28" s="18"/>
      <c r="B28" s="92">
        <v>5331</v>
      </c>
      <c r="C28" s="19" t="s">
        <v>382</v>
      </c>
      <c r="D28" s="21"/>
      <c r="E28" s="21"/>
      <c r="F28" s="21">
        <v>3221000</v>
      </c>
      <c r="G28" s="85">
        <f>2177600+600000+591320</f>
        <v>3368920</v>
      </c>
      <c r="H28" s="91" t="s">
        <v>438</v>
      </c>
    </row>
    <row r="29" spans="1:8" ht="24.75" x14ac:dyDescent="0.25">
      <c r="A29" s="18"/>
      <c r="B29" s="92">
        <v>5331</v>
      </c>
      <c r="C29" s="19" t="s">
        <v>383</v>
      </c>
      <c r="D29" s="21"/>
      <c r="E29" s="21"/>
      <c r="F29" s="21">
        <v>2730000</v>
      </c>
      <c r="G29" s="85">
        <f>2294310+300000</f>
        <v>2594310</v>
      </c>
      <c r="H29" s="75" t="s">
        <v>444</v>
      </c>
    </row>
    <row r="30" spans="1:8" ht="24.75" x14ac:dyDescent="0.25">
      <c r="A30" s="18"/>
      <c r="B30" s="18" t="s">
        <v>141</v>
      </c>
      <c r="C30" s="19" t="s">
        <v>142</v>
      </c>
      <c r="D30" s="21">
        <v>0</v>
      </c>
      <c r="E30" s="21">
        <v>1229641</v>
      </c>
      <c r="F30" s="21">
        <v>659511</v>
      </c>
      <c r="G30" s="85" t="s">
        <v>325</v>
      </c>
      <c r="H30" s="75"/>
    </row>
    <row r="31" spans="1:8" ht="24.75" x14ac:dyDescent="0.25">
      <c r="A31" s="18"/>
      <c r="B31" s="18" t="s">
        <v>126</v>
      </c>
      <c r="C31" s="19" t="s">
        <v>127</v>
      </c>
      <c r="D31" s="21">
        <v>330000</v>
      </c>
      <c r="E31" s="21">
        <v>830000</v>
      </c>
      <c r="F31" s="21">
        <v>0</v>
      </c>
      <c r="G31" s="85">
        <f>500000+1000000+1100000+230000</f>
        <v>2830000</v>
      </c>
      <c r="H31" s="89" t="s">
        <v>452</v>
      </c>
    </row>
    <row r="32" spans="1:8" x14ac:dyDescent="0.25">
      <c r="A32" s="13" t="s">
        <v>108</v>
      </c>
      <c r="B32" s="13" t="s">
        <v>4</v>
      </c>
      <c r="C32" s="14" t="s">
        <v>143</v>
      </c>
      <c r="D32" s="16">
        <v>41968800</v>
      </c>
      <c r="E32" s="16">
        <v>48303007.649999999</v>
      </c>
      <c r="F32" s="16">
        <v>43737813.880000003</v>
      </c>
      <c r="G32" s="88">
        <f>SUM(G33:G39)</f>
        <v>44010957</v>
      </c>
      <c r="H32" s="74"/>
    </row>
    <row r="33" spans="1:11" x14ac:dyDescent="0.25">
      <c r="A33" s="18"/>
      <c r="B33" s="18" t="s">
        <v>122</v>
      </c>
      <c r="C33" s="19" t="s">
        <v>123</v>
      </c>
      <c r="D33" s="21">
        <v>0</v>
      </c>
      <c r="E33" s="21">
        <v>0</v>
      </c>
      <c r="F33" s="21">
        <v>-8244.2099999999991</v>
      </c>
      <c r="G33" s="85" t="s">
        <v>325</v>
      </c>
      <c r="H33" s="75"/>
    </row>
    <row r="34" spans="1:11" x14ac:dyDescent="0.25">
      <c r="A34" s="18"/>
      <c r="B34" s="18" t="s">
        <v>133</v>
      </c>
      <c r="C34" s="19" t="s">
        <v>134</v>
      </c>
      <c r="D34" s="21">
        <v>48800</v>
      </c>
      <c r="E34" s="21">
        <v>108651</v>
      </c>
      <c r="F34" s="21">
        <v>53542</v>
      </c>
      <c r="G34" s="85">
        <v>115000</v>
      </c>
      <c r="H34" s="75" t="s">
        <v>344</v>
      </c>
    </row>
    <row r="35" spans="1:11" x14ac:dyDescent="0.25">
      <c r="A35" s="18"/>
      <c r="B35" s="18" t="s">
        <v>124</v>
      </c>
      <c r="C35" s="19" t="s">
        <v>125</v>
      </c>
      <c r="D35" s="21">
        <v>0</v>
      </c>
      <c r="E35" s="21">
        <v>110103</v>
      </c>
      <c r="F35" s="21">
        <v>110102.74</v>
      </c>
      <c r="G35" s="85" t="s">
        <v>325</v>
      </c>
      <c r="H35" s="75"/>
    </row>
    <row r="36" spans="1:11" x14ac:dyDescent="0.25">
      <c r="A36" s="18"/>
      <c r="B36" s="18" t="s">
        <v>135</v>
      </c>
      <c r="C36" s="19" t="s">
        <v>136</v>
      </c>
      <c r="D36" s="21">
        <v>0</v>
      </c>
      <c r="E36" s="21">
        <v>2775287.65</v>
      </c>
      <c r="F36" s="21">
        <v>2780177.35</v>
      </c>
      <c r="G36" s="85" t="s">
        <v>325</v>
      </c>
      <c r="H36" s="75"/>
    </row>
    <row r="37" spans="1:11" ht="24.75" x14ac:dyDescent="0.25">
      <c r="A37" s="18"/>
      <c r="B37" s="18" t="s">
        <v>139</v>
      </c>
      <c r="C37" s="19" t="s">
        <v>140</v>
      </c>
      <c r="D37" s="21">
        <v>31925000</v>
      </c>
      <c r="E37" s="21">
        <v>31969000</v>
      </c>
      <c r="F37" s="21">
        <v>31925000</v>
      </c>
      <c r="G37" s="85">
        <v>33198957</v>
      </c>
      <c r="H37" s="75" t="s">
        <v>469</v>
      </c>
    </row>
    <row r="38" spans="1:11" ht="24.75" x14ac:dyDescent="0.25">
      <c r="A38" s="18"/>
      <c r="B38" s="18" t="s">
        <v>141</v>
      </c>
      <c r="C38" s="19" t="s">
        <v>142</v>
      </c>
      <c r="D38" s="21">
        <v>0</v>
      </c>
      <c r="E38" s="21">
        <v>8542066</v>
      </c>
      <c r="F38" s="21">
        <v>8542066</v>
      </c>
      <c r="G38" s="85" t="s">
        <v>325</v>
      </c>
      <c r="H38" s="75"/>
    </row>
    <row r="39" spans="1:11" ht="72" x14ac:dyDescent="0.25">
      <c r="A39" s="18"/>
      <c r="B39" s="18" t="s">
        <v>126</v>
      </c>
      <c r="C39" s="19" t="s">
        <v>127</v>
      </c>
      <c r="D39" s="21">
        <v>9995000</v>
      </c>
      <c r="E39" s="21">
        <v>4797900</v>
      </c>
      <c r="F39" s="21">
        <v>335170</v>
      </c>
      <c r="G39" s="85">
        <f>4800000+450000+400000+260000+1000000+1100000+300000+1600000+787000</f>
        <v>10697000</v>
      </c>
      <c r="H39" s="91" t="s">
        <v>475</v>
      </c>
    </row>
    <row r="40" spans="1:11" x14ac:dyDescent="0.25">
      <c r="A40" s="13" t="s">
        <v>144</v>
      </c>
      <c r="B40" s="13" t="s">
        <v>4</v>
      </c>
      <c r="C40" s="14" t="s">
        <v>145</v>
      </c>
      <c r="D40" s="16">
        <v>921000</v>
      </c>
      <c r="E40" s="16">
        <v>1835889</v>
      </c>
      <c r="F40" s="16">
        <v>921000</v>
      </c>
      <c r="G40" s="88">
        <f>SUM(G41)</f>
        <v>931000</v>
      </c>
      <c r="H40" s="74"/>
    </row>
    <row r="41" spans="1:11" ht="24.75" x14ac:dyDescent="0.25">
      <c r="A41" s="18"/>
      <c r="B41" s="18" t="s">
        <v>139</v>
      </c>
      <c r="C41" s="19" t="s">
        <v>140</v>
      </c>
      <c r="D41" s="21">
        <v>921000</v>
      </c>
      <c r="E41" s="21">
        <v>921000</v>
      </c>
      <c r="F41" s="21">
        <v>921000</v>
      </c>
      <c r="G41" s="85">
        <f>781000+150000</f>
        <v>931000</v>
      </c>
      <c r="H41" s="75" t="s">
        <v>445</v>
      </c>
    </row>
    <row r="42" spans="1:11" ht="24.75" x14ac:dyDescent="0.25">
      <c r="A42" s="18"/>
      <c r="B42" s="18" t="s">
        <v>141</v>
      </c>
      <c r="C42" s="19" t="s">
        <v>142</v>
      </c>
      <c r="D42" s="21">
        <v>0</v>
      </c>
      <c r="E42" s="21">
        <v>914889</v>
      </c>
      <c r="F42" s="21">
        <v>0</v>
      </c>
      <c r="G42" s="85" t="s">
        <v>325</v>
      </c>
      <c r="H42" s="75"/>
    </row>
    <row r="43" spans="1:11" x14ac:dyDescent="0.25">
      <c r="A43" s="13" t="s">
        <v>54</v>
      </c>
      <c r="B43" s="13" t="s">
        <v>4</v>
      </c>
      <c r="C43" s="14" t="s">
        <v>55</v>
      </c>
      <c r="D43" s="16">
        <v>3244500</v>
      </c>
      <c r="E43" s="16">
        <v>3244500</v>
      </c>
      <c r="F43" s="16">
        <v>1998223.15</v>
      </c>
      <c r="G43" s="88">
        <f>SUM(G44:G61)</f>
        <v>3273860</v>
      </c>
      <c r="H43" s="74"/>
    </row>
    <row r="44" spans="1:11" ht="24.75" x14ac:dyDescent="0.25">
      <c r="A44" s="18"/>
      <c r="B44" s="18" t="s">
        <v>146</v>
      </c>
      <c r="C44" s="19" t="s">
        <v>147</v>
      </c>
      <c r="D44" s="21">
        <v>1450000</v>
      </c>
      <c r="E44" s="21">
        <v>1450000</v>
      </c>
      <c r="F44" s="21">
        <v>936208</v>
      </c>
      <c r="G44" s="85">
        <v>1520000</v>
      </c>
      <c r="H44" s="75"/>
      <c r="J44" s="41"/>
      <c r="K44" s="41"/>
    </row>
    <row r="45" spans="1:11" x14ac:dyDescent="0.25">
      <c r="A45" s="18"/>
      <c r="B45" s="18" t="s">
        <v>148</v>
      </c>
      <c r="C45" s="19" t="s">
        <v>149</v>
      </c>
      <c r="D45" s="21">
        <v>85000</v>
      </c>
      <c r="E45" s="21">
        <v>85000</v>
      </c>
      <c r="F45" s="21">
        <v>35121</v>
      </c>
      <c r="G45" s="85">
        <v>80000</v>
      </c>
      <c r="H45" s="75" t="s">
        <v>339</v>
      </c>
      <c r="J45" s="41"/>
      <c r="K45" s="41"/>
    </row>
    <row r="46" spans="1:11" ht="24.75" x14ac:dyDescent="0.25">
      <c r="A46" s="18"/>
      <c r="B46" s="18" t="s">
        <v>150</v>
      </c>
      <c r="C46" s="19" t="s">
        <v>151</v>
      </c>
      <c r="D46" s="21">
        <v>360000</v>
      </c>
      <c r="E46" s="21">
        <v>360000</v>
      </c>
      <c r="F46" s="21">
        <v>228121</v>
      </c>
      <c r="G46" s="85">
        <f>G44*0.248</f>
        <v>376960</v>
      </c>
      <c r="H46" s="75"/>
      <c r="J46" s="41"/>
      <c r="K46" s="41"/>
    </row>
    <row r="47" spans="1:11" x14ac:dyDescent="0.25">
      <c r="A47" s="18"/>
      <c r="B47" s="18" t="s">
        <v>152</v>
      </c>
      <c r="C47" s="19" t="s">
        <v>153</v>
      </c>
      <c r="D47" s="21">
        <v>130500</v>
      </c>
      <c r="E47" s="21">
        <v>130500</v>
      </c>
      <c r="F47" s="21">
        <v>82784</v>
      </c>
      <c r="G47" s="85">
        <f>G44*0.09</f>
        <v>136800</v>
      </c>
      <c r="H47" s="75"/>
      <c r="J47" s="41"/>
      <c r="K47" s="41"/>
    </row>
    <row r="48" spans="1:11" x14ac:dyDescent="0.25">
      <c r="A48" s="18"/>
      <c r="B48" s="18" t="s">
        <v>154</v>
      </c>
      <c r="C48" s="19" t="s">
        <v>155</v>
      </c>
      <c r="D48" s="21">
        <v>2000</v>
      </c>
      <c r="E48" s="21">
        <v>2000</v>
      </c>
      <c r="F48" s="21">
        <v>605.6</v>
      </c>
      <c r="G48" s="85">
        <v>2000</v>
      </c>
      <c r="H48" s="75"/>
      <c r="J48" s="41"/>
      <c r="K48" s="41"/>
    </row>
    <row r="49" spans="1:11" x14ac:dyDescent="0.25">
      <c r="A49" s="18"/>
      <c r="B49" s="18" t="s">
        <v>156</v>
      </c>
      <c r="C49" s="19" t="s">
        <v>157</v>
      </c>
      <c r="D49" s="21">
        <v>250000</v>
      </c>
      <c r="E49" s="21">
        <v>250000</v>
      </c>
      <c r="F49" s="21">
        <v>131912.35</v>
      </c>
      <c r="G49" s="85">
        <v>260000</v>
      </c>
      <c r="H49" s="75"/>
      <c r="J49" s="41"/>
      <c r="K49" s="41"/>
    </row>
    <row r="50" spans="1:11" x14ac:dyDescent="0.25">
      <c r="A50" s="18"/>
      <c r="B50" s="18" t="s">
        <v>158</v>
      </c>
      <c r="C50" s="19" t="s">
        <v>159</v>
      </c>
      <c r="D50" s="21">
        <v>140000</v>
      </c>
      <c r="E50" s="21">
        <v>140000</v>
      </c>
      <c r="F50" s="21">
        <v>112677.41</v>
      </c>
      <c r="G50" s="85">
        <v>120000</v>
      </c>
      <c r="H50" s="75" t="s">
        <v>340</v>
      </c>
      <c r="J50" s="41"/>
      <c r="K50" s="41"/>
    </row>
    <row r="51" spans="1:11" x14ac:dyDescent="0.25">
      <c r="A51" s="18"/>
      <c r="B51" s="18" t="s">
        <v>131</v>
      </c>
      <c r="C51" s="19" t="s">
        <v>132</v>
      </c>
      <c r="D51" s="21">
        <v>60000</v>
      </c>
      <c r="E51" s="21">
        <v>60000</v>
      </c>
      <c r="F51" s="21">
        <v>62516.15</v>
      </c>
      <c r="G51" s="85">
        <v>75000</v>
      </c>
      <c r="H51" s="75"/>
      <c r="J51" s="41"/>
      <c r="K51" s="41"/>
    </row>
    <row r="52" spans="1:11" ht="24.75" x14ac:dyDescent="0.25">
      <c r="A52" s="18"/>
      <c r="B52" s="18" t="s">
        <v>160</v>
      </c>
      <c r="C52" s="19" t="s">
        <v>161</v>
      </c>
      <c r="D52" s="21">
        <v>4000</v>
      </c>
      <c r="E52" s="21">
        <v>4000</v>
      </c>
      <c r="F52" s="21">
        <v>1410</v>
      </c>
      <c r="G52" s="85">
        <v>4000</v>
      </c>
      <c r="H52" s="75"/>
      <c r="J52" s="41"/>
      <c r="K52" s="41"/>
    </row>
    <row r="53" spans="1:11" x14ac:dyDescent="0.25">
      <c r="A53" s="18"/>
      <c r="B53" s="18" t="s">
        <v>162</v>
      </c>
      <c r="C53" s="19" t="s">
        <v>163</v>
      </c>
      <c r="D53" s="21">
        <v>480000</v>
      </c>
      <c r="E53" s="21">
        <v>480000</v>
      </c>
      <c r="F53" s="21">
        <v>240506.83</v>
      </c>
      <c r="G53" s="85">
        <v>360000</v>
      </c>
      <c r="H53" s="75" t="s">
        <v>341</v>
      </c>
      <c r="J53" s="41"/>
      <c r="K53" s="41"/>
    </row>
    <row r="54" spans="1:11" x14ac:dyDescent="0.25">
      <c r="A54" s="18"/>
      <c r="B54" s="18" t="s">
        <v>122</v>
      </c>
      <c r="C54" s="19" t="s">
        <v>123</v>
      </c>
      <c r="D54" s="21">
        <v>90000</v>
      </c>
      <c r="E54" s="21">
        <v>90000</v>
      </c>
      <c r="F54" s="21">
        <v>63400</v>
      </c>
      <c r="G54" s="85">
        <v>90000</v>
      </c>
      <c r="H54" s="75"/>
      <c r="J54" s="41"/>
      <c r="K54" s="41"/>
    </row>
    <row r="55" spans="1:11" x14ac:dyDescent="0.25">
      <c r="A55" s="18"/>
      <c r="B55" s="18" t="s">
        <v>164</v>
      </c>
      <c r="C55" s="19" t="s">
        <v>165</v>
      </c>
      <c r="D55" s="21">
        <v>17000</v>
      </c>
      <c r="E55" s="21">
        <v>17000</v>
      </c>
      <c r="F55" s="21">
        <v>10670</v>
      </c>
      <c r="G55" s="85">
        <v>20000</v>
      </c>
      <c r="H55" s="75"/>
      <c r="J55" s="41"/>
      <c r="K55" s="41"/>
    </row>
    <row r="56" spans="1:11" x14ac:dyDescent="0.25">
      <c r="A56" s="18"/>
      <c r="B56" s="18" t="s">
        <v>166</v>
      </c>
      <c r="C56" s="19" t="s">
        <v>167</v>
      </c>
      <c r="D56" s="21">
        <v>18000</v>
      </c>
      <c r="E56" s="21">
        <v>18000</v>
      </c>
      <c r="F56" s="21">
        <v>3468</v>
      </c>
      <c r="G56" s="85">
        <v>41100</v>
      </c>
      <c r="H56" s="75" t="s">
        <v>342</v>
      </c>
      <c r="J56" s="41"/>
      <c r="K56" s="41"/>
    </row>
    <row r="57" spans="1:11" x14ac:dyDescent="0.25">
      <c r="A57" s="18"/>
      <c r="B57" s="18" t="s">
        <v>133</v>
      </c>
      <c r="C57" s="19" t="s">
        <v>134</v>
      </c>
      <c r="D57" s="21">
        <v>100000</v>
      </c>
      <c r="E57" s="21">
        <v>100000</v>
      </c>
      <c r="F57" s="21">
        <v>44296.98</v>
      </c>
      <c r="G57" s="85">
        <v>120000</v>
      </c>
      <c r="H57" s="90" t="s">
        <v>446</v>
      </c>
      <c r="J57" s="41"/>
      <c r="K57" s="41"/>
    </row>
    <row r="58" spans="1:11" x14ac:dyDescent="0.25">
      <c r="A58" s="18"/>
      <c r="B58" s="18" t="s">
        <v>124</v>
      </c>
      <c r="C58" s="19" t="s">
        <v>125</v>
      </c>
      <c r="D58" s="21">
        <v>40000</v>
      </c>
      <c r="E58" s="21">
        <v>40000</v>
      </c>
      <c r="F58" s="21">
        <v>32765</v>
      </c>
      <c r="G58" s="85">
        <v>50000</v>
      </c>
      <c r="H58" s="75"/>
      <c r="J58" s="41"/>
      <c r="K58" s="41"/>
    </row>
    <row r="59" spans="1:11" x14ac:dyDescent="0.25">
      <c r="A59" s="18"/>
      <c r="B59" s="18" t="s">
        <v>168</v>
      </c>
      <c r="C59" s="19" t="s">
        <v>169</v>
      </c>
      <c r="D59" s="21">
        <v>3000</v>
      </c>
      <c r="E59" s="21">
        <v>3000</v>
      </c>
      <c r="F59" s="21">
        <v>2551</v>
      </c>
      <c r="G59" s="85">
        <v>3000</v>
      </c>
      <c r="H59" s="75"/>
      <c r="J59" s="41"/>
      <c r="K59" s="41"/>
    </row>
    <row r="60" spans="1:11" x14ac:dyDescent="0.25">
      <c r="A60" s="18"/>
      <c r="B60" s="18" t="s">
        <v>170</v>
      </c>
      <c r="C60" s="19" t="s">
        <v>171</v>
      </c>
      <c r="D60" s="21">
        <v>15000</v>
      </c>
      <c r="E60" s="21">
        <v>15000</v>
      </c>
      <c r="F60" s="21">
        <v>7209.83</v>
      </c>
      <c r="G60" s="85">
        <v>15000</v>
      </c>
      <c r="H60" s="75"/>
      <c r="J60" s="41"/>
      <c r="K60" s="41"/>
    </row>
    <row r="61" spans="1:11" x14ac:dyDescent="0.25">
      <c r="A61" s="18"/>
      <c r="B61" s="18" t="s">
        <v>172</v>
      </c>
      <c r="C61" s="19" t="s">
        <v>173</v>
      </c>
      <c r="D61" s="21">
        <v>0</v>
      </c>
      <c r="E61" s="21">
        <v>0</v>
      </c>
      <c r="F61" s="21">
        <v>2000</v>
      </c>
      <c r="G61" s="85" t="s">
        <v>325</v>
      </c>
      <c r="J61" s="41"/>
      <c r="K61" s="41"/>
    </row>
    <row r="62" spans="1:11" x14ac:dyDescent="0.25">
      <c r="A62" s="37">
        <v>3319</v>
      </c>
      <c r="B62" s="13" t="s">
        <v>4</v>
      </c>
      <c r="C62" s="14" t="s">
        <v>174</v>
      </c>
      <c r="D62" s="16">
        <v>90400</v>
      </c>
      <c r="E62" s="16">
        <v>90400</v>
      </c>
      <c r="F62" s="16">
        <v>16960</v>
      </c>
      <c r="G62" s="88">
        <f>SUM(G63:G67)</f>
        <v>100280</v>
      </c>
      <c r="H62" s="74"/>
      <c r="J62" s="41"/>
      <c r="K62" s="41"/>
    </row>
    <row r="63" spans="1:11" x14ac:dyDescent="0.25">
      <c r="A63" s="18"/>
      <c r="B63" s="18" t="s">
        <v>148</v>
      </c>
      <c r="C63" s="19" t="s">
        <v>149</v>
      </c>
      <c r="D63" s="21">
        <v>60000</v>
      </c>
      <c r="E63" s="21">
        <v>60000</v>
      </c>
      <c r="F63" s="21">
        <v>10000</v>
      </c>
      <c r="G63" s="85">
        <v>60000</v>
      </c>
      <c r="H63" s="75" t="s">
        <v>343</v>
      </c>
      <c r="J63" s="41"/>
      <c r="K63" s="41"/>
    </row>
    <row r="64" spans="1:11" ht="24.75" x14ac:dyDescent="0.25">
      <c r="A64" s="18"/>
      <c r="B64" s="18" t="s">
        <v>150</v>
      </c>
      <c r="C64" s="19" t="s">
        <v>151</v>
      </c>
      <c r="D64" s="21">
        <v>15000</v>
      </c>
      <c r="E64" s="21">
        <v>15000</v>
      </c>
      <c r="F64" s="21">
        <v>0</v>
      </c>
      <c r="G64" s="85">
        <f>G63*0.248</f>
        <v>14880</v>
      </c>
      <c r="H64" s="75"/>
      <c r="J64" s="41"/>
      <c r="K64" s="41"/>
    </row>
    <row r="65" spans="1:11" x14ac:dyDescent="0.25">
      <c r="A65" s="18"/>
      <c r="B65" s="18" t="s">
        <v>152</v>
      </c>
      <c r="C65" s="19" t="s">
        <v>153</v>
      </c>
      <c r="D65" s="21">
        <v>5400</v>
      </c>
      <c r="E65" s="21">
        <v>5400</v>
      </c>
      <c r="F65" s="21">
        <v>0</v>
      </c>
      <c r="G65" s="85">
        <f>G63*0.09</f>
        <v>5400</v>
      </c>
      <c r="H65" s="75"/>
      <c r="J65" s="41"/>
      <c r="K65" s="41"/>
    </row>
    <row r="66" spans="1:11" x14ac:dyDescent="0.25">
      <c r="A66" s="18"/>
      <c r="B66" s="18" t="s">
        <v>131</v>
      </c>
      <c r="C66" s="19" t="s">
        <v>132</v>
      </c>
      <c r="D66" s="21">
        <v>5000</v>
      </c>
      <c r="E66" s="21">
        <v>5000</v>
      </c>
      <c r="F66" s="21">
        <v>57</v>
      </c>
      <c r="G66" s="85">
        <v>10000</v>
      </c>
      <c r="H66" s="75"/>
      <c r="J66" s="41"/>
      <c r="K66" s="41"/>
    </row>
    <row r="67" spans="1:11" x14ac:dyDescent="0.25">
      <c r="A67" s="18"/>
      <c r="B67" s="18" t="s">
        <v>133</v>
      </c>
      <c r="C67" s="19" t="s">
        <v>134</v>
      </c>
      <c r="D67" s="21">
        <v>5000</v>
      </c>
      <c r="E67" s="21">
        <v>5000</v>
      </c>
      <c r="F67" s="21">
        <v>6903</v>
      </c>
      <c r="G67" s="85">
        <v>10000</v>
      </c>
      <c r="H67" s="75"/>
      <c r="J67" s="41"/>
      <c r="K67" s="41"/>
    </row>
    <row r="68" spans="1:11" x14ac:dyDescent="0.25">
      <c r="A68" s="13" t="s">
        <v>58</v>
      </c>
      <c r="B68" s="13" t="s">
        <v>4</v>
      </c>
      <c r="C68" s="14" t="s">
        <v>59</v>
      </c>
      <c r="D68" s="16">
        <v>173000</v>
      </c>
      <c r="E68" s="16">
        <v>181000</v>
      </c>
      <c r="F68" s="16">
        <v>153749.70000000001</v>
      </c>
      <c r="G68" s="88">
        <f>SUM(G69:G73)</f>
        <v>300000</v>
      </c>
      <c r="H68" s="74"/>
      <c r="J68" s="41"/>
      <c r="K68" s="41"/>
    </row>
    <row r="69" spans="1:11" x14ac:dyDescent="0.25">
      <c r="A69" s="18"/>
      <c r="B69" s="18" t="s">
        <v>148</v>
      </c>
      <c r="C69" s="19" t="s">
        <v>149</v>
      </c>
      <c r="D69" s="21">
        <v>85000</v>
      </c>
      <c r="E69" s="21">
        <v>85000</v>
      </c>
      <c r="F69" s="21">
        <v>71260</v>
      </c>
      <c r="G69" s="85">
        <v>100000</v>
      </c>
      <c r="H69" s="75" t="s">
        <v>345</v>
      </c>
      <c r="J69" s="41"/>
      <c r="K69" s="41"/>
    </row>
    <row r="70" spans="1:11" x14ac:dyDescent="0.25">
      <c r="A70" s="18"/>
      <c r="B70" s="18" t="s">
        <v>158</v>
      </c>
      <c r="C70" s="19" t="s">
        <v>159</v>
      </c>
      <c r="D70" s="21">
        <v>65000</v>
      </c>
      <c r="E70" s="21">
        <v>30000</v>
      </c>
      <c r="F70" s="21">
        <v>29481.7</v>
      </c>
      <c r="G70" s="85">
        <v>40000</v>
      </c>
      <c r="H70" s="75"/>
      <c r="J70" s="41"/>
      <c r="K70" s="41"/>
    </row>
    <row r="71" spans="1:11" x14ac:dyDescent="0.25">
      <c r="A71" s="18"/>
      <c r="B71" s="18" t="s">
        <v>122</v>
      </c>
      <c r="C71" s="19" t="s">
        <v>123</v>
      </c>
      <c r="D71" s="21">
        <v>8000</v>
      </c>
      <c r="E71" s="21">
        <v>8000</v>
      </c>
      <c r="F71" s="21">
        <v>2385</v>
      </c>
      <c r="G71" s="85">
        <v>5000</v>
      </c>
      <c r="H71" s="75"/>
      <c r="J71" s="41"/>
      <c r="K71" s="41"/>
    </row>
    <row r="72" spans="1:11" x14ac:dyDescent="0.25">
      <c r="A72" s="18"/>
      <c r="B72" s="18" t="s">
        <v>133</v>
      </c>
      <c r="C72" s="19" t="s">
        <v>134</v>
      </c>
      <c r="D72" s="21">
        <v>15000</v>
      </c>
      <c r="E72" s="21">
        <v>15000</v>
      </c>
      <c r="F72" s="21">
        <v>7623</v>
      </c>
      <c r="G72" s="85">
        <v>15000</v>
      </c>
      <c r="H72" s="75"/>
      <c r="J72" s="41"/>
      <c r="K72" s="41"/>
    </row>
    <row r="73" spans="1:11" x14ac:dyDescent="0.25">
      <c r="A73" s="18"/>
      <c r="B73" s="18" t="s">
        <v>175</v>
      </c>
      <c r="C73" s="19" t="s">
        <v>176</v>
      </c>
      <c r="D73" s="21">
        <v>0</v>
      </c>
      <c r="E73" s="21">
        <v>43000</v>
      </c>
      <c r="F73" s="21">
        <v>43000</v>
      </c>
      <c r="G73" s="85">
        <f>20000+120000</f>
        <v>140000</v>
      </c>
      <c r="H73" s="75" t="s">
        <v>464</v>
      </c>
      <c r="J73" s="41"/>
      <c r="K73" s="41"/>
    </row>
    <row r="74" spans="1:11" x14ac:dyDescent="0.25">
      <c r="A74" s="13" t="s">
        <v>62</v>
      </c>
      <c r="B74" s="13" t="s">
        <v>4</v>
      </c>
      <c r="C74" s="14" t="s">
        <v>63</v>
      </c>
      <c r="D74" s="16">
        <v>736000</v>
      </c>
      <c r="E74" s="16">
        <v>736000</v>
      </c>
      <c r="F74" s="16">
        <v>559280</v>
      </c>
      <c r="G74" s="88">
        <f>SUM(G75:G78)</f>
        <v>879000</v>
      </c>
      <c r="H74" s="74"/>
      <c r="J74" s="41"/>
      <c r="K74" s="41"/>
    </row>
    <row r="75" spans="1:11" x14ac:dyDescent="0.25">
      <c r="A75" s="18"/>
      <c r="B75" s="18" t="s">
        <v>148</v>
      </c>
      <c r="C75" s="19" t="s">
        <v>149</v>
      </c>
      <c r="D75" s="21">
        <v>260000</v>
      </c>
      <c r="E75" s="21">
        <v>260000</v>
      </c>
      <c r="F75" s="21">
        <v>157100</v>
      </c>
      <c r="G75" s="85">
        <v>277000</v>
      </c>
      <c r="H75" s="75"/>
      <c r="J75" s="41"/>
      <c r="K75" s="41"/>
    </row>
    <row r="76" spans="1:11" ht="24.75" x14ac:dyDescent="0.25">
      <c r="A76" s="18"/>
      <c r="B76" s="18" t="s">
        <v>150</v>
      </c>
      <c r="C76" s="19" t="s">
        <v>151</v>
      </c>
      <c r="D76" s="21">
        <v>0</v>
      </c>
      <c r="E76" s="21">
        <v>0</v>
      </c>
      <c r="F76" s="21">
        <v>26040</v>
      </c>
      <c r="G76" s="85">
        <v>0</v>
      </c>
      <c r="H76" s="75"/>
      <c r="J76" s="41"/>
      <c r="K76" s="41"/>
    </row>
    <row r="77" spans="1:11" x14ac:dyDescent="0.25">
      <c r="A77" s="18"/>
      <c r="B77" s="18" t="s">
        <v>152</v>
      </c>
      <c r="C77" s="19" t="s">
        <v>153</v>
      </c>
      <c r="D77" s="21">
        <v>0</v>
      </c>
      <c r="E77" s="21">
        <v>0</v>
      </c>
      <c r="F77" s="21">
        <v>8100</v>
      </c>
      <c r="G77" s="85">
        <v>0</v>
      </c>
      <c r="H77" s="75"/>
      <c r="J77" s="41"/>
      <c r="K77" s="41"/>
    </row>
    <row r="78" spans="1:11" x14ac:dyDescent="0.25">
      <c r="A78" s="18"/>
      <c r="B78" s="18" t="s">
        <v>133</v>
      </c>
      <c r="C78" s="19" t="s">
        <v>134</v>
      </c>
      <c r="D78" s="21">
        <v>476000</v>
      </c>
      <c r="E78" s="21">
        <v>476000</v>
      </c>
      <c r="F78" s="21">
        <v>368040</v>
      </c>
      <c r="G78" s="85">
        <v>602000</v>
      </c>
      <c r="H78" s="75"/>
      <c r="J78" s="41"/>
      <c r="K78" s="41"/>
    </row>
    <row r="79" spans="1:11" x14ac:dyDescent="0.25">
      <c r="A79" s="13" t="s">
        <v>177</v>
      </c>
      <c r="B79" s="13" t="s">
        <v>4</v>
      </c>
      <c r="C79" s="14" t="s">
        <v>178</v>
      </c>
      <c r="D79" s="16">
        <v>2600000</v>
      </c>
      <c r="E79" s="16">
        <v>1858000</v>
      </c>
      <c r="F79" s="16">
        <v>1811250</v>
      </c>
      <c r="G79" s="88">
        <f>SUM(G80)</f>
        <v>2280000</v>
      </c>
      <c r="H79" s="74"/>
      <c r="J79" s="41"/>
      <c r="K79" s="41"/>
    </row>
    <row r="80" spans="1:11" ht="24.75" x14ac:dyDescent="0.25">
      <c r="A80" s="18"/>
      <c r="B80" s="18" t="s">
        <v>179</v>
      </c>
      <c r="C80" s="19" t="s">
        <v>180</v>
      </c>
      <c r="D80" s="21">
        <v>2600000</v>
      </c>
      <c r="E80" s="21">
        <v>1858000</v>
      </c>
      <c r="F80" s="21">
        <v>1811250</v>
      </c>
      <c r="G80" s="85">
        <f>2100000+180000</f>
        <v>2280000</v>
      </c>
      <c r="H80" s="75" t="s">
        <v>456</v>
      </c>
      <c r="J80" s="41"/>
      <c r="K80" s="41"/>
    </row>
    <row r="81" spans="1:11" x14ac:dyDescent="0.25">
      <c r="A81" s="13" t="s">
        <v>64</v>
      </c>
      <c r="B81" s="13" t="s">
        <v>4</v>
      </c>
      <c r="C81" s="14" t="s">
        <v>65</v>
      </c>
      <c r="D81" s="16">
        <v>893000</v>
      </c>
      <c r="E81" s="16">
        <v>973000</v>
      </c>
      <c r="F81" s="16">
        <v>603485.92000000004</v>
      </c>
      <c r="G81" s="88">
        <f>SUM(G82:G89)</f>
        <v>1151000</v>
      </c>
      <c r="H81" s="74"/>
      <c r="J81" s="41"/>
      <c r="K81" s="41"/>
    </row>
    <row r="82" spans="1:11" x14ac:dyDescent="0.25">
      <c r="A82" s="18"/>
      <c r="B82" s="18" t="s">
        <v>148</v>
      </c>
      <c r="C82" s="19" t="s">
        <v>149</v>
      </c>
      <c r="D82" s="21">
        <v>0</v>
      </c>
      <c r="E82" s="21">
        <v>0</v>
      </c>
      <c r="F82" s="21">
        <v>9000</v>
      </c>
      <c r="G82" s="85">
        <v>80000</v>
      </c>
      <c r="H82" s="75" t="s">
        <v>406</v>
      </c>
      <c r="J82" s="41"/>
      <c r="K82" s="41"/>
    </row>
    <row r="83" spans="1:11" x14ac:dyDescent="0.25">
      <c r="A83" s="18"/>
      <c r="B83" s="18" t="s">
        <v>131</v>
      </c>
      <c r="C83" s="19" t="s">
        <v>132</v>
      </c>
      <c r="D83" s="21">
        <v>0</v>
      </c>
      <c r="E83" s="21">
        <v>0</v>
      </c>
      <c r="F83" s="21">
        <v>2638</v>
      </c>
      <c r="G83" s="85">
        <v>10000</v>
      </c>
      <c r="H83" s="75" t="s">
        <v>407</v>
      </c>
      <c r="J83" s="41"/>
      <c r="K83" s="41"/>
    </row>
    <row r="84" spans="1:11" ht="48" x14ac:dyDescent="0.25">
      <c r="A84" s="18"/>
      <c r="B84" s="18" t="s">
        <v>133</v>
      </c>
      <c r="C84" s="19" t="s">
        <v>134</v>
      </c>
      <c r="D84" s="21">
        <v>613000</v>
      </c>
      <c r="E84" s="21">
        <v>653000</v>
      </c>
      <c r="F84" s="21">
        <v>405649.9</v>
      </c>
      <c r="G84" s="85">
        <f>35000+35000+25000+20000+60000+50000+36000+20000+5000+10000+400000</f>
        <v>696000</v>
      </c>
      <c r="H84" s="91" t="s">
        <v>437</v>
      </c>
      <c r="J84" s="41"/>
      <c r="K84" s="41"/>
    </row>
    <row r="85" spans="1:11" ht="24" x14ac:dyDescent="0.25">
      <c r="A85" s="18"/>
      <c r="B85" s="18" t="s">
        <v>170</v>
      </c>
      <c r="C85" s="19" t="s">
        <v>171</v>
      </c>
      <c r="D85" s="21">
        <v>75000</v>
      </c>
      <c r="E85" s="21">
        <v>75000</v>
      </c>
      <c r="F85" s="21">
        <v>92238.65</v>
      </c>
      <c r="G85" s="85">
        <f>5000+25000+40000+70000+15000+15000</f>
        <v>170000</v>
      </c>
      <c r="H85" s="91" t="s">
        <v>485</v>
      </c>
      <c r="J85" s="41"/>
      <c r="K85" s="41"/>
    </row>
    <row r="86" spans="1:11" ht="36" x14ac:dyDescent="0.25">
      <c r="A86" s="18"/>
      <c r="B86" s="18" t="s">
        <v>181</v>
      </c>
      <c r="C86" s="19" t="s">
        <v>182</v>
      </c>
      <c r="D86" s="21">
        <v>152000</v>
      </c>
      <c r="E86" s="21">
        <v>152000</v>
      </c>
      <c r="F86" s="21">
        <v>53959.37</v>
      </c>
      <c r="G86" s="85">
        <f>35000+10000+25000+24000+18000+8000</f>
        <v>120000</v>
      </c>
      <c r="H86" s="91" t="s">
        <v>384</v>
      </c>
      <c r="J86" s="41"/>
      <c r="K86" s="41"/>
    </row>
    <row r="87" spans="1:11" ht="24.75" x14ac:dyDescent="0.25">
      <c r="A87" s="18"/>
      <c r="B87" s="18" t="s">
        <v>183</v>
      </c>
      <c r="C87" s="19" t="s">
        <v>184</v>
      </c>
      <c r="D87" s="21">
        <v>50000</v>
      </c>
      <c r="E87" s="21">
        <v>50000</v>
      </c>
      <c r="F87" s="21">
        <v>0</v>
      </c>
      <c r="G87" s="85">
        <v>75000</v>
      </c>
      <c r="H87" s="75" t="s">
        <v>483</v>
      </c>
      <c r="J87" s="41"/>
      <c r="K87" s="41"/>
    </row>
    <row r="88" spans="1:11" x14ac:dyDescent="0.25">
      <c r="A88" s="18"/>
      <c r="B88" s="18" t="s">
        <v>185</v>
      </c>
      <c r="C88" s="19" t="s">
        <v>186</v>
      </c>
      <c r="D88" s="21">
        <v>0</v>
      </c>
      <c r="E88" s="21">
        <v>40000</v>
      </c>
      <c r="F88" s="21">
        <v>40000</v>
      </c>
      <c r="G88" s="85"/>
      <c r="H88" s="75"/>
      <c r="J88" s="41"/>
      <c r="K88" s="41"/>
    </row>
    <row r="89" spans="1:11" x14ac:dyDescent="0.25">
      <c r="A89" s="18"/>
      <c r="B89" s="18" t="s">
        <v>187</v>
      </c>
      <c r="C89" s="19" t="s">
        <v>188</v>
      </c>
      <c r="D89" s="21">
        <v>3000</v>
      </c>
      <c r="E89" s="21">
        <v>3000</v>
      </c>
      <c r="F89" s="21">
        <v>0</v>
      </c>
      <c r="G89" s="85"/>
      <c r="H89" s="75"/>
      <c r="J89" s="41"/>
      <c r="K89" s="41"/>
    </row>
    <row r="90" spans="1:11" x14ac:dyDescent="0.25">
      <c r="A90" s="13" t="s">
        <v>189</v>
      </c>
      <c r="B90" s="13" t="s">
        <v>4</v>
      </c>
      <c r="C90" s="14" t="s">
        <v>190</v>
      </c>
      <c r="D90" s="16">
        <v>0</v>
      </c>
      <c r="E90" s="16">
        <v>882000</v>
      </c>
      <c r="F90" s="16">
        <v>763000</v>
      </c>
      <c r="G90" s="88">
        <f>SUM(G91:G92)</f>
        <v>1320000</v>
      </c>
      <c r="H90" s="74"/>
      <c r="J90" s="41"/>
      <c r="K90" s="41"/>
    </row>
    <row r="91" spans="1:11" x14ac:dyDescent="0.25">
      <c r="A91" s="18"/>
      <c r="B91" s="18" t="s">
        <v>191</v>
      </c>
      <c r="C91" s="19" t="s">
        <v>192</v>
      </c>
      <c r="D91" s="21">
        <v>0</v>
      </c>
      <c r="E91" s="21">
        <v>882000</v>
      </c>
      <c r="F91" s="21">
        <v>763000</v>
      </c>
      <c r="G91" s="132">
        <f>1050000+70000</f>
        <v>1120000</v>
      </c>
      <c r="H91" s="75" t="s">
        <v>486</v>
      </c>
      <c r="J91" s="41"/>
      <c r="K91" s="41"/>
    </row>
    <row r="92" spans="1:11" x14ac:dyDescent="0.25">
      <c r="A92" s="18"/>
      <c r="B92" s="92">
        <v>6322</v>
      </c>
      <c r="C92" s="19" t="s">
        <v>440</v>
      </c>
      <c r="D92" s="21"/>
      <c r="E92" s="21"/>
      <c r="F92" s="21"/>
      <c r="G92" s="85">
        <v>200000</v>
      </c>
      <c r="H92" s="75" t="s">
        <v>442</v>
      </c>
      <c r="J92" s="41"/>
      <c r="K92" s="41"/>
    </row>
    <row r="93" spans="1:11" x14ac:dyDescent="0.25">
      <c r="A93" s="13" t="s">
        <v>66</v>
      </c>
      <c r="B93" s="13" t="s">
        <v>4</v>
      </c>
      <c r="C93" s="14" t="s">
        <v>67</v>
      </c>
      <c r="D93" s="16">
        <v>1991000</v>
      </c>
      <c r="E93" s="16">
        <v>1991000</v>
      </c>
      <c r="F93" s="16">
        <v>1370316.33</v>
      </c>
      <c r="G93" s="88">
        <f>SUM(G94:G102)</f>
        <v>3529960</v>
      </c>
      <c r="H93" s="74"/>
      <c r="J93" s="41"/>
      <c r="K93" s="41"/>
    </row>
    <row r="94" spans="1:11" ht="24" x14ac:dyDescent="0.25">
      <c r="A94" s="18"/>
      <c r="B94" s="18" t="s">
        <v>148</v>
      </c>
      <c r="C94" s="19" t="s">
        <v>149</v>
      </c>
      <c r="D94" s="21">
        <v>385000</v>
      </c>
      <c r="E94" s="21">
        <v>385000</v>
      </c>
      <c r="F94" s="21">
        <v>215847</v>
      </c>
      <c r="G94" s="85">
        <v>420000</v>
      </c>
      <c r="H94" s="91" t="s">
        <v>368</v>
      </c>
      <c r="J94" s="41"/>
      <c r="K94" s="41"/>
    </row>
    <row r="95" spans="1:11" ht="24.75" x14ac:dyDescent="0.25">
      <c r="A95" s="18"/>
      <c r="B95" s="18" t="s">
        <v>150</v>
      </c>
      <c r="C95" s="19" t="s">
        <v>151</v>
      </c>
      <c r="D95" s="21">
        <v>96000</v>
      </c>
      <c r="E95" s="21">
        <v>96000</v>
      </c>
      <c r="F95" s="21">
        <v>49908</v>
      </c>
      <c r="G95" s="85">
        <f>G94*0.248</f>
        <v>104160</v>
      </c>
      <c r="H95" s="75"/>
      <c r="J95" s="41"/>
      <c r="K95" s="41"/>
    </row>
    <row r="96" spans="1:11" x14ac:dyDescent="0.25">
      <c r="A96" s="18"/>
      <c r="B96" s="18" t="s">
        <v>152</v>
      </c>
      <c r="C96" s="19" t="s">
        <v>153</v>
      </c>
      <c r="D96" s="21">
        <v>35000</v>
      </c>
      <c r="E96" s="21">
        <v>35000</v>
      </c>
      <c r="F96" s="21">
        <v>19327</v>
      </c>
      <c r="G96" s="85">
        <f>G94*0.09</f>
        <v>37800</v>
      </c>
      <c r="H96" s="75"/>
      <c r="J96" s="41"/>
      <c r="K96" s="41"/>
    </row>
    <row r="97" spans="1:11" ht="24" x14ac:dyDescent="0.25">
      <c r="A97" s="18"/>
      <c r="B97" s="18" t="s">
        <v>158</v>
      </c>
      <c r="C97" s="19" t="s">
        <v>159</v>
      </c>
      <c r="D97" s="21">
        <v>150000</v>
      </c>
      <c r="E97" s="21">
        <v>150000</v>
      </c>
      <c r="F97" s="21">
        <v>49053.43</v>
      </c>
      <c r="G97" s="85">
        <v>200000</v>
      </c>
      <c r="H97" s="91" t="s">
        <v>369</v>
      </c>
      <c r="J97" s="41"/>
      <c r="K97" s="41"/>
    </row>
    <row r="98" spans="1:11" x14ac:dyDescent="0.25">
      <c r="A98" s="18"/>
      <c r="B98" s="18" t="s">
        <v>131</v>
      </c>
      <c r="C98" s="19" t="s">
        <v>132</v>
      </c>
      <c r="D98" s="21">
        <v>30000</v>
      </c>
      <c r="E98" s="21">
        <v>30000</v>
      </c>
      <c r="F98" s="21">
        <v>48743.93</v>
      </c>
      <c r="G98" s="85">
        <v>48000</v>
      </c>
      <c r="H98" s="75" t="s">
        <v>370</v>
      </c>
      <c r="J98" s="41"/>
      <c r="K98" s="41"/>
    </row>
    <row r="99" spans="1:11" x14ac:dyDescent="0.25">
      <c r="A99" s="18"/>
      <c r="B99" s="18" t="s">
        <v>133</v>
      </c>
      <c r="C99" s="19" t="s">
        <v>134</v>
      </c>
      <c r="D99" s="21">
        <v>100000</v>
      </c>
      <c r="E99" s="21">
        <v>100000</v>
      </c>
      <c r="F99" s="21">
        <v>36303.17</v>
      </c>
      <c r="G99" s="85">
        <v>50000</v>
      </c>
      <c r="H99" s="91" t="s">
        <v>371</v>
      </c>
      <c r="J99" s="41"/>
      <c r="K99" s="41"/>
    </row>
    <row r="100" spans="1:11" x14ac:dyDescent="0.25">
      <c r="A100" s="18"/>
      <c r="B100" s="18" t="s">
        <v>124</v>
      </c>
      <c r="C100" s="19" t="s">
        <v>125</v>
      </c>
      <c r="D100" s="21">
        <v>120000</v>
      </c>
      <c r="E100" s="21">
        <v>120000</v>
      </c>
      <c r="F100" s="21">
        <v>93214.94</v>
      </c>
      <c r="G100" s="85">
        <v>120000</v>
      </c>
      <c r="H100" s="75" t="s">
        <v>372</v>
      </c>
      <c r="J100" s="41"/>
      <c r="K100" s="41"/>
    </row>
    <row r="101" spans="1:11" ht="24" x14ac:dyDescent="0.25">
      <c r="A101" s="18"/>
      <c r="B101" s="18" t="s">
        <v>126</v>
      </c>
      <c r="C101" s="19" t="s">
        <v>127</v>
      </c>
      <c r="D101" s="21">
        <v>1075000</v>
      </c>
      <c r="E101" s="21">
        <v>1075000</v>
      </c>
      <c r="F101" s="21">
        <v>857918.86</v>
      </c>
      <c r="G101" s="85">
        <v>2350000</v>
      </c>
      <c r="H101" s="91" t="s">
        <v>473</v>
      </c>
      <c r="J101" s="41"/>
      <c r="K101" s="41"/>
    </row>
    <row r="102" spans="1:11" x14ac:dyDescent="0.25">
      <c r="A102" s="18"/>
      <c r="B102" s="92">
        <v>6322</v>
      </c>
      <c r="C102" s="19" t="s">
        <v>440</v>
      </c>
      <c r="D102" s="21"/>
      <c r="E102" s="21"/>
      <c r="F102" s="21"/>
      <c r="G102" s="85">
        <v>200000</v>
      </c>
      <c r="H102" s="75" t="s">
        <v>441</v>
      </c>
      <c r="J102" s="41"/>
      <c r="K102" s="41"/>
    </row>
    <row r="103" spans="1:11" x14ac:dyDescent="0.25">
      <c r="A103" s="13" t="s">
        <v>193</v>
      </c>
      <c r="B103" s="13" t="s">
        <v>4</v>
      </c>
      <c r="C103" s="14" t="s">
        <v>194</v>
      </c>
      <c r="D103" s="16">
        <v>98000</v>
      </c>
      <c r="E103" s="16">
        <v>98000</v>
      </c>
      <c r="F103" s="16">
        <v>72204.5</v>
      </c>
      <c r="G103" s="88">
        <f>SUM(G104:G107)</f>
        <v>109000</v>
      </c>
      <c r="H103" s="74"/>
      <c r="J103" s="41"/>
      <c r="K103" s="41"/>
    </row>
    <row r="104" spans="1:11" x14ac:dyDescent="0.25">
      <c r="A104" s="18"/>
      <c r="B104" s="18" t="s">
        <v>148</v>
      </c>
      <c r="C104" s="19" t="s">
        <v>149</v>
      </c>
      <c r="D104" s="21">
        <v>42000</v>
      </c>
      <c r="E104" s="21">
        <v>42000</v>
      </c>
      <c r="F104" s="21">
        <v>37400</v>
      </c>
      <c r="G104" s="85">
        <v>42000</v>
      </c>
      <c r="H104" s="75" t="s">
        <v>346</v>
      </c>
      <c r="J104" s="41"/>
      <c r="K104" s="41"/>
    </row>
    <row r="105" spans="1:11" x14ac:dyDescent="0.25">
      <c r="A105" s="18"/>
      <c r="B105" s="18" t="s">
        <v>156</v>
      </c>
      <c r="C105" s="19" t="s">
        <v>157</v>
      </c>
      <c r="D105" s="21">
        <v>5000</v>
      </c>
      <c r="E105" s="21">
        <v>5000</v>
      </c>
      <c r="F105" s="21">
        <v>550</v>
      </c>
      <c r="G105" s="85">
        <v>5000</v>
      </c>
      <c r="H105" s="75" t="s">
        <v>347</v>
      </c>
      <c r="J105" s="41"/>
      <c r="K105" s="41"/>
    </row>
    <row r="106" spans="1:11" x14ac:dyDescent="0.25">
      <c r="A106" s="18"/>
      <c r="B106" s="18" t="s">
        <v>131</v>
      </c>
      <c r="C106" s="19" t="s">
        <v>132</v>
      </c>
      <c r="D106" s="21">
        <v>6000</v>
      </c>
      <c r="E106" s="21">
        <v>6000</v>
      </c>
      <c r="F106" s="21">
        <v>2614</v>
      </c>
      <c r="G106" s="85">
        <v>7000</v>
      </c>
      <c r="H106" s="75" t="s">
        <v>348</v>
      </c>
      <c r="J106" s="41"/>
      <c r="K106" s="41"/>
    </row>
    <row r="107" spans="1:11" x14ac:dyDescent="0.25">
      <c r="A107" s="18"/>
      <c r="B107" s="18" t="s">
        <v>133</v>
      </c>
      <c r="C107" s="19" t="s">
        <v>134</v>
      </c>
      <c r="D107" s="21">
        <v>45000</v>
      </c>
      <c r="E107" s="21">
        <v>45000</v>
      </c>
      <c r="F107" s="21">
        <v>31640.5</v>
      </c>
      <c r="G107" s="85">
        <v>55000</v>
      </c>
      <c r="H107" s="75" t="s">
        <v>349</v>
      </c>
      <c r="J107" s="41"/>
      <c r="K107" s="41"/>
    </row>
    <row r="108" spans="1:11" x14ac:dyDescent="0.25">
      <c r="A108" s="13" t="s">
        <v>68</v>
      </c>
      <c r="B108" s="13" t="s">
        <v>4</v>
      </c>
      <c r="C108" s="14" t="s">
        <v>69</v>
      </c>
      <c r="D108" s="16">
        <v>6944000</v>
      </c>
      <c r="E108" s="16">
        <v>7444000</v>
      </c>
      <c r="F108" s="16">
        <v>3601137.71</v>
      </c>
      <c r="G108" s="88">
        <f>SUM(G109:G121)</f>
        <v>9491740</v>
      </c>
      <c r="H108" s="74"/>
      <c r="J108" s="41"/>
      <c r="K108" s="41"/>
    </row>
    <row r="109" spans="1:11" ht="24.75" x14ac:dyDescent="0.25">
      <c r="A109" s="18"/>
      <c r="B109" s="18" t="s">
        <v>146</v>
      </c>
      <c r="C109" s="19" t="s">
        <v>147</v>
      </c>
      <c r="D109" s="21">
        <v>204000</v>
      </c>
      <c r="E109" s="21">
        <v>204000</v>
      </c>
      <c r="F109" s="21">
        <v>170613</v>
      </c>
      <c r="G109" s="85">
        <v>230000</v>
      </c>
      <c r="H109" s="75" t="s">
        <v>396</v>
      </c>
      <c r="J109" s="41"/>
      <c r="K109" s="41"/>
    </row>
    <row r="110" spans="1:11" x14ac:dyDescent="0.25">
      <c r="A110" s="18"/>
      <c r="B110" s="18" t="s">
        <v>148</v>
      </c>
      <c r="C110" s="19" t="s">
        <v>149</v>
      </c>
      <c r="D110" s="21">
        <v>10000</v>
      </c>
      <c r="E110" s="21">
        <v>10000</v>
      </c>
      <c r="F110" s="21">
        <v>1224</v>
      </c>
      <c r="G110" s="85">
        <v>10000</v>
      </c>
      <c r="H110" s="75" t="s">
        <v>397</v>
      </c>
      <c r="J110" s="41"/>
      <c r="K110" s="41"/>
    </row>
    <row r="111" spans="1:11" ht="24.75" x14ac:dyDescent="0.25">
      <c r="A111" s="18"/>
      <c r="B111" s="18" t="s">
        <v>150</v>
      </c>
      <c r="C111" s="19" t="s">
        <v>151</v>
      </c>
      <c r="D111" s="21">
        <v>51000</v>
      </c>
      <c r="E111" s="21">
        <v>51000</v>
      </c>
      <c r="F111" s="21">
        <v>34256.699999999997</v>
      </c>
      <c r="G111" s="85">
        <f>G109*0.248</f>
        <v>57040</v>
      </c>
      <c r="H111" s="75"/>
      <c r="J111" s="41"/>
      <c r="K111" s="41"/>
    </row>
    <row r="112" spans="1:11" x14ac:dyDescent="0.25">
      <c r="A112" s="18"/>
      <c r="B112" s="18" t="s">
        <v>152</v>
      </c>
      <c r="C112" s="19" t="s">
        <v>153</v>
      </c>
      <c r="D112" s="21">
        <v>19000</v>
      </c>
      <c r="E112" s="21">
        <v>19000</v>
      </c>
      <c r="F112" s="21">
        <v>12432.5</v>
      </c>
      <c r="G112" s="85">
        <f>G109*0.09</f>
        <v>20700</v>
      </c>
      <c r="H112" s="75"/>
      <c r="J112" s="41"/>
      <c r="K112" s="41"/>
    </row>
    <row r="113" spans="1:11" x14ac:dyDescent="0.25">
      <c r="A113" s="18"/>
      <c r="B113" s="18" t="s">
        <v>158</v>
      </c>
      <c r="C113" s="19" t="s">
        <v>159</v>
      </c>
      <c r="D113" s="21">
        <v>15000</v>
      </c>
      <c r="E113" s="21">
        <v>15000</v>
      </c>
      <c r="F113" s="21">
        <v>0</v>
      </c>
      <c r="G113" s="85">
        <v>10000</v>
      </c>
      <c r="H113" s="75"/>
      <c r="J113" s="41"/>
      <c r="K113" s="41"/>
    </row>
    <row r="114" spans="1:11" x14ac:dyDescent="0.25">
      <c r="A114" s="18"/>
      <c r="B114" s="18" t="s">
        <v>131</v>
      </c>
      <c r="C114" s="19" t="s">
        <v>132</v>
      </c>
      <c r="D114" s="21">
        <v>31000</v>
      </c>
      <c r="E114" s="21">
        <v>31000</v>
      </c>
      <c r="F114" s="21">
        <v>28820.06</v>
      </c>
      <c r="G114" s="85">
        <v>10000</v>
      </c>
      <c r="H114" s="75" t="s">
        <v>357</v>
      </c>
      <c r="J114" s="41"/>
      <c r="K114" s="41"/>
    </row>
    <row r="115" spans="1:11" ht="24.75" x14ac:dyDescent="0.25">
      <c r="A115" s="18"/>
      <c r="B115" s="18" t="s">
        <v>160</v>
      </c>
      <c r="C115" s="19" t="s">
        <v>161</v>
      </c>
      <c r="D115" s="21">
        <v>280000</v>
      </c>
      <c r="E115" s="21">
        <v>280000</v>
      </c>
      <c r="F115" s="21">
        <v>161280</v>
      </c>
      <c r="G115" s="85">
        <v>280000</v>
      </c>
      <c r="H115" s="75"/>
      <c r="J115" s="41"/>
      <c r="K115" s="41"/>
    </row>
    <row r="116" spans="1:11" x14ac:dyDescent="0.25">
      <c r="A116" s="18"/>
      <c r="B116" s="18" t="s">
        <v>162</v>
      </c>
      <c r="C116" s="19" t="s">
        <v>163</v>
      </c>
      <c r="D116" s="21">
        <v>400000</v>
      </c>
      <c r="E116" s="21">
        <v>400000</v>
      </c>
      <c r="F116" s="21">
        <v>396265.85</v>
      </c>
      <c r="G116" s="85">
        <v>500000</v>
      </c>
      <c r="H116" s="75"/>
      <c r="J116" s="41"/>
      <c r="K116" s="41"/>
    </row>
    <row r="117" spans="1:11" x14ac:dyDescent="0.25">
      <c r="A117" s="18"/>
      <c r="B117" s="18" t="s">
        <v>122</v>
      </c>
      <c r="C117" s="19" t="s">
        <v>123</v>
      </c>
      <c r="D117" s="21">
        <v>180000</v>
      </c>
      <c r="E117" s="21">
        <v>180000</v>
      </c>
      <c r="F117" s="21">
        <v>223951</v>
      </c>
      <c r="G117" s="85">
        <v>240000</v>
      </c>
      <c r="H117" s="75"/>
      <c r="J117" s="41"/>
      <c r="K117" s="41"/>
    </row>
    <row r="118" spans="1:11" x14ac:dyDescent="0.25">
      <c r="A118" s="18"/>
      <c r="B118" s="18" t="s">
        <v>133</v>
      </c>
      <c r="C118" s="19" t="s">
        <v>134</v>
      </c>
      <c r="D118" s="21">
        <v>1550000</v>
      </c>
      <c r="E118" s="21">
        <v>1550000</v>
      </c>
      <c r="F118" s="21">
        <v>890186.92</v>
      </c>
      <c r="G118" s="85">
        <v>1450000</v>
      </c>
      <c r="H118" s="75" t="s">
        <v>465</v>
      </c>
      <c r="J118" s="41"/>
      <c r="K118" s="41"/>
    </row>
    <row r="119" spans="1:11" ht="60" x14ac:dyDescent="0.25">
      <c r="A119" s="18"/>
      <c r="B119" s="18" t="s">
        <v>124</v>
      </c>
      <c r="C119" s="19" t="s">
        <v>125</v>
      </c>
      <c r="D119" s="21">
        <v>1035000</v>
      </c>
      <c r="E119" s="21">
        <v>1035000</v>
      </c>
      <c r="F119" s="21">
        <v>427067.9</v>
      </c>
      <c r="G119" s="85">
        <f>75000+75000+60000+60000+80000+225000+20000</f>
        <v>595000</v>
      </c>
      <c r="H119" s="91" t="s">
        <v>461</v>
      </c>
      <c r="J119" s="41"/>
      <c r="K119" s="41"/>
    </row>
    <row r="120" spans="1:11" x14ac:dyDescent="0.25">
      <c r="A120" s="18"/>
      <c r="B120" s="18" t="s">
        <v>195</v>
      </c>
      <c r="C120" s="19" t="s">
        <v>196</v>
      </c>
      <c r="D120" s="21">
        <v>0</v>
      </c>
      <c r="E120" s="21">
        <v>0</v>
      </c>
      <c r="F120" s="21">
        <v>222067</v>
      </c>
      <c r="G120" s="85" t="s">
        <v>325</v>
      </c>
      <c r="H120" s="75"/>
      <c r="J120" s="41"/>
      <c r="K120" s="41"/>
    </row>
    <row r="121" spans="1:11" ht="144" x14ac:dyDescent="0.25">
      <c r="A121" s="18"/>
      <c r="B121" s="18" t="s">
        <v>126</v>
      </c>
      <c r="C121" s="19" t="s">
        <v>127</v>
      </c>
      <c r="D121" s="21">
        <v>3169000</v>
      </c>
      <c r="E121" s="21">
        <v>3669000</v>
      </c>
      <c r="F121" s="21">
        <v>1032972.78</v>
      </c>
      <c r="G121" s="85">
        <f>150000+270000+100000+150000+1900000+1100000+30000+185000+150000+650000+57000+57000+160000+150000+300000+400000+280000</f>
        <v>6089000</v>
      </c>
      <c r="H121" s="91" t="s">
        <v>462</v>
      </c>
      <c r="J121" s="41"/>
      <c r="K121" s="41"/>
    </row>
    <row r="122" spans="1:11" x14ac:dyDescent="0.25">
      <c r="A122" s="13" t="s">
        <v>70</v>
      </c>
      <c r="B122" s="13" t="s">
        <v>4</v>
      </c>
      <c r="C122" s="14" t="s">
        <v>71</v>
      </c>
      <c r="D122" s="16">
        <v>5965800</v>
      </c>
      <c r="E122" s="16">
        <v>5965800</v>
      </c>
      <c r="F122" s="16">
        <v>3232718.18</v>
      </c>
      <c r="G122" s="88">
        <f>SUM(G123:G135)</f>
        <v>4535560</v>
      </c>
      <c r="H122" s="74"/>
      <c r="J122" s="41"/>
      <c r="K122" s="41"/>
    </row>
    <row r="123" spans="1:11" x14ac:dyDescent="0.25">
      <c r="A123" s="18"/>
      <c r="B123" s="18" t="s">
        <v>148</v>
      </c>
      <c r="C123" s="19" t="s">
        <v>149</v>
      </c>
      <c r="D123" s="21">
        <v>120000</v>
      </c>
      <c r="E123" s="21">
        <v>120000</v>
      </c>
      <c r="F123" s="21">
        <v>72600</v>
      </c>
      <c r="G123" s="85">
        <v>120000</v>
      </c>
      <c r="H123" s="75"/>
      <c r="J123" s="41"/>
      <c r="K123" s="41"/>
    </row>
    <row r="124" spans="1:11" ht="24.75" x14ac:dyDescent="0.25">
      <c r="A124" s="18"/>
      <c r="B124" s="18" t="s">
        <v>150</v>
      </c>
      <c r="C124" s="19" t="s">
        <v>151</v>
      </c>
      <c r="D124" s="21">
        <v>30000</v>
      </c>
      <c r="E124" s="21">
        <v>30000</v>
      </c>
      <c r="F124" s="21">
        <v>19840</v>
      </c>
      <c r="G124" s="85">
        <f>G123*0.248</f>
        <v>29760</v>
      </c>
      <c r="H124" s="75"/>
      <c r="J124" s="41"/>
      <c r="K124" s="41"/>
    </row>
    <row r="125" spans="1:11" x14ac:dyDescent="0.25">
      <c r="A125" s="18"/>
      <c r="B125" s="18" t="s">
        <v>152</v>
      </c>
      <c r="C125" s="19" t="s">
        <v>153</v>
      </c>
      <c r="D125" s="21">
        <v>10800</v>
      </c>
      <c r="E125" s="21">
        <v>10800</v>
      </c>
      <c r="F125" s="21">
        <v>7200</v>
      </c>
      <c r="G125" s="85">
        <f>G123*0.09</f>
        <v>10800</v>
      </c>
      <c r="H125" s="75"/>
      <c r="J125" s="41"/>
      <c r="K125" s="41"/>
    </row>
    <row r="126" spans="1:11" x14ac:dyDescent="0.25">
      <c r="A126" s="18"/>
      <c r="B126" s="18" t="s">
        <v>158</v>
      </c>
      <c r="C126" s="19" t="s">
        <v>159</v>
      </c>
      <c r="D126" s="21">
        <v>15000</v>
      </c>
      <c r="E126" s="21">
        <v>15000</v>
      </c>
      <c r="F126" s="21">
        <v>10882.74</v>
      </c>
      <c r="G126" s="85">
        <v>15000</v>
      </c>
      <c r="H126" s="75"/>
      <c r="J126" s="41"/>
      <c r="K126" s="41"/>
    </row>
    <row r="127" spans="1:11" x14ac:dyDescent="0.25">
      <c r="A127" s="18"/>
      <c r="B127" s="18" t="s">
        <v>131</v>
      </c>
      <c r="C127" s="19" t="s">
        <v>132</v>
      </c>
      <c r="D127" s="21">
        <v>30000</v>
      </c>
      <c r="E127" s="21">
        <v>30000</v>
      </c>
      <c r="F127" s="21">
        <v>34029.89</v>
      </c>
      <c r="G127" s="85">
        <v>40000</v>
      </c>
      <c r="H127" s="75"/>
      <c r="J127" s="41"/>
      <c r="K127" s="41"/>
    </row>
    <row r="128" spans="1:11" ht="24.75" x14ac:dyDescent="0.25">
      <c r="A128" s="18"/>
      <c r="B128" s="18" t="s">
        <v>160</v>
      </c>
      <c r="C128" s="19" t="s">
        <v>161</v>
      </c>
      <c r="D128" s="21">
        <v>150000</v>
      </c>
      <c r="E128" s="21">
        <v>150000</v>
      </c>
      <c r="F128" s="21">
        <v>61620</v>
      </c>
      <c r="G128" s="85">
        <v>150000</v>
      </c>
      <c r="H128" s="75"/>
      <c r="J128" s="41"/>
      <c r="K128" s="41"/>
    </row>
    <row r="129" spans="1:11" x14ac:dyDescent="0.25">
      <c r="A129" s="18"/>
      <c r="B129" s="18" t="s">
        <v>197</v>
      </c>
      <c r="C129" s="19" t="s">
        <v>198</v>
      </c>
      <c r="D129" s="21">
        <v>250000</v>
      </c>
      <c r="E129" s="21">
        <v>250000</v>
      </c>
      <c r="F129" s="21">
        <v>191808.09</v>
      </c>
      <c r="G129" s="85">
        <v>300000</v>
      </c>
      <c r="H129" s="75"/>
      <c r="J129" s="41"/>
      <c r="K129" s="41"/>
    </row>
    <row r="130" spans="1:11" x14ac:dyDescent="0.25">
      <c r="A130" s="18"/>
      <c r="B130" s="18" t="s">
        <v>162</v>
      </c>
      <c r="C130" s="19" t="s">
        <v>163</v>
      </c>
      <c r="D130" s="21">
        <v>250000</v>
      </c>
      <c r="E130" s="21">
        <v>250000</v>
      </c>
      <c r="F130" s="21">
        <v>309085.73</v>
      </c>
      <c r="G130" s="85">
        <v>300000</v>
      </c>
      <c r="H130" s="75"/>
      <c r="J130" s="41"/>
      <c r="K130" s="41"/>
    </row>
    <row r="131" spans="1:11" x14ac:dyDescent="0.25">
      <c r="A131" s="18"/>
      <c r="B131" s="18" t="s">
        <v>122</v>
      </c>
      <c r="C131" s="19" t="s">
        <v>123</v>
      </c>
      <c r="D131" s="21">
        <v>350000</v>
      </c>
      <c r="E131" s="21">
        <v>350000</v>
      </c>
      <c r="F131" s="21">
        <v>450206.28</v>
      </c>
      <c r="G131" s="85">
        <v>460000</v>
      </c>
      <c r="H131" s="75" t="s">
        <v>405</v>
      </c>
      <c r="J131" s="41"/>
      <c r="K131" s="41"/>
    </row>
    <row r="132" spans="1:11" x14ac:dyDescent="0.25">
      <c r="A132" s="18"/>
      <c r="B132" s="18" t="s">
        <v>133</v>
      </c>
      <c r="C132" s="19" t="s">
        <v>134</v>
      </c>
      <c r="D132" s="21">
        <v>445000</v>
      </c>
      <c r="E132" s="21">
        <v>445000</v>
      </c>
      <c r="F132" s="21">
        <v>187841.08</v>
      </c>
      <c r="G132" s="85">
        <f>250000+150000</f>
        <v>400000</v>
      </c>
      <c r="H132" s="75" t="s">
        <v>439</v>
      </c>
      <c r="J132" s="41"/>
      <c r="K132" s="41"/>
    </row>
    <row r="133" spans="1:11" ht="48" x14ac:dyDescent="0.25">
      <c r="A133" s="18"/>
      <c r="B133" s="18" t="s">
        <v>124</v>
      </c>
      <c r="C133" s="19" t="s">
        <v>125</v>
      </c>
      <c r="D133" s="21">
        <v>500000</v>
      </c>
      <c r="E133" s="21">
        <v>500000</v>
      </c>
      <c r="F133" s="21">
        <v>537931.48</v>
      </c>
      <c r="G133" s="85">
        <f>100000+300000+145000+120000+45000</f>
        <v>710000</v>
      </c>
      <c r="H133" s="91" t="s">
        <v>448</v>
      </c>
      <c r="J133" s="41"/>
      <c r="K133" s="41"/>
    </row>
    <row r="134" spans="1:11" x14ac:dyDescent="0.25">
      <c r="A134" s="18"/>
      <c r="B134" s="18" t="s">
        <v>195</v>
      </c>
      <c r="C134" s="19" t="s">
        <v>196</v>
      </c>
      <c r="D134" s="21">
        <v>0</v>
      </c>
      <c r="E134" s="21">
        <v>0</v>
      </c>
      <c r="F134" s="21">
        <v>8035</v>
      </c>
      <c r="G134" s="85" t="s">
        <v>325</v>
      </c>
      <c r="H134" s="75"/>
      <c r="J134" s="41"/>
      <c r="K134" s="41"/>
    </row>
    <row r="135" spans="1:11" ht="48" x14ac:dyDescent="0.25">
      <c r="A135" s="18"/>
      <c r="B135" s="18" t="s">
        <v>126</v>
      </c>
      <c r="C135" s="19" t="s">
        <v>127</v>
      </c>
      <c r="D135" s="21">
        <v>3815000</v>
      </c>
      <c r="E135" s="21">
        <v>3815000</v>
      </c>
      <c r="F135" s="21">
        <v>1341637.8899999999</v>
      </c>
      <c r="G135" s="85">
        <f>65000+1000000+500000+150000+85000+200000</f>
        <v>2000000</v>
      </c>
      <c r="H135" s="91" t="s">
        <v>463</v>
      </c>
      <c r="J135" s="41"/>
      <c r="K135" s="41"/>
    </row>
    <row r="136" spans="1:11" x14ac:dyDescent="0.25">
      <c r="A136" s="13" t="s">
        <v>72</v>
      </c>
      <c r="B136" s="13" t="s">
        <v>4</v>
      </c>
      <c r="C136" s="14" t="s">
        <v>73</v>
      </c>
      <c r="D136" s="16">
        <v>4500000</v>
      </c>
      <c r="E136" s="16">
        <v>4500000</v>
      </c>
      <c r="F136" s="16">
        <v>344341.22</v>
      </c>
      <c r="G136" s="88">
        <f>SUM(G137)</f>
        <v>7637672</v>
      </c>
      <c r="H136" s="74"/>
      <c r="J136" s="41"/>
      <c r="K136" s="41"/>
    </row>
    <row r="137" spans="1:11" x14ac:dyDescent="0.25">
      <c r="A137" s="18"/>
      <c r="B137" s="18" t="s">
        <v>126</v>
      </c>
      <c r="C137" s="19" t="s">
        <v>127</v>
      </c>
      <c r="D137" s="21">
        <v>4500000</v>
      </c>
      <c r="E137" s="21">
        <v>4500000</v>
      </c>
      <c r="F137" s="21">
        <v>344341.22</v>
      </c>
      <c r="G137" s="85">
        <v>7637672</v>
      </c>
      <c r="H137" s="75" t="s">
        <v>453</v>
      </c>
      <c r="J137" s="41"/>
      <c r="K137" s="41"/>
    </row>
    <row r="138" spans="1:11" x14ac:dyDescent="0.25">
      <c r="A138" s="13" t="s">
        <v>74</v>
      </c>
      <c r="B138" s="13" t="s">
        <v>4</v>
      </c>
      <c r="C138" s="14" t="s">
        <v>75</v>
      </c>
      <c r="D138" s="16">
        <v>1400000</v>
      </c>
      <c r="E138" s="16">
        <v>1540000</v>
      </c>
      <c r="F138" s="16">
        <v>119894</v>
      </c>
      <c r="G138" s="88">
        <f>SUM(G139:G143)</f>
        <v>210000</v>
      </c>
      <c r="H138" s="74"/>
      <c r="J138" s="41"/>
      <c r="K138" s="41"/>
    </row>
    <row r="139" spans="1:11" x14ac:dyDescent="0.25">
      <c r="A139" s="18"/>
      <c r="B139" s="18" t="s">
        <v>148</v>
      </c>
      <c r="C139" s="19" t="s">
        <v>149</v>
      </c>
      <c r="D139" s="21">
        <v>60000</v>
      </c>
      <c r="E139" s="21">
        <v>60000</v>
      </c>
      <c r="F139" s="21">
        <v>61280</v>
      </c>
      <c r="G139" s="85">
        <v>80000</v>
      </c>
      <c r="H139" s="75" t="s">
        <v>350</v>
      </c>
      <c r="J139" s="41"/>
      <c r="K139" s="41"/>
    </row>
    <row r="140" spans="1:11" x14ac:dyDescent="0.25">
      <c r="A140" s="18"/>
      <c r="B140" s="18" t="s">
        <v>122</v>
      </c>
      <c r="C140" s="19" t="s">
        <v>123</v>
      </c>
      <c r="D140" s="21">
        <v>30000</v>
      </c>
      <c r="E140" s="21">
        <v>30000</v>
      </c>
      <c r="F140" s="21">
        <v>31414</v>
      </c>
      <c r="G140" s="85">
        <v>40000</v>
      </c>
      <c r="H140" s="75" t="s">
        <v>351</v>
      </c>
      <c r="J140" s="41"/>
      <c r="K140" s="41"/>
    </row>
    <row r="141" spans="1:11" x14ac:dyDescent="0.25">
      <c r="A141" s="18"/>
      <c r="B141" s="18" t="s">
        <v>133</v>
      </c>
      <c r="C141" s="19" t="s">
        <v>134</v>
      </c>
      <c r="D141" s="21">
        <v>80000</v>
      </c>
      <c r="E141" s="21">
        <v>80000</v>
      </c>
      <c r="F141" s="21">
        <v>0</v>
      </c>
      <c r="G141" s="85">
        <v>60000</v>
      </c>
      <c r="H141" s="89" t="s">
        <v>352</v>
      </c>
      <c r="J141" s="41"/>
      <c r="K141" s="41"/>
    </row>
    <row r="142" spans="1:11" x14ac:dyDescent="0.25">
      <c r="A142" s="18"/>
      <c r="B142" s="18" t="s">
        <v>124</v>
      </c>
      <c r="C142" s="19" t="s">
        <v>125</v>
      </c>
      <c r="D142" s="21">
        <v>30000</v>
      </c>
      <c r="E142" s="21">
        <v>30000</v>
      </c>
      <c r="F142" s="21">
        <v>0</v>
      </c>
      <c r="G142" s="85">
        <v>30000</v>
      </c>
      <c r="H142" s="89" t="s">
        <v>353</v>
      </c>
      <c r="J142" s="41"/>
      <c r="K142" s="41"/>
    </row>
    <row r="143" spans="1:11" x14ac:dyDescent="0.25">
      <c r="A143" s="18"/>
      <c r="B143" s="18" t="s">
        <v>126</v>
      </c>
      <c r="C143" s="19" t="s">
        <v>127</v>
      </c>
      <c r="D143" s="21">
        <v>1200000</v>
      </c>
      <c r="E143" s="21">
        <v>1340000</v>
      </c>
      <c r="F143" s="21">
        <v>27200</v>
      </c>
      <c r="G143" s="85" t="s">
        <v>325</v>
      </c>
      <c r="H143" s="75"/>
      <c r="J143" s="41"/>
      <c r="K143" s="41"/>
    </row>
    <row r="144" spans="1:11" x14ac:dyDescent="0.25">
      <c r="A144" s="13" t="s">
        <v>199</v>
      </c>
      <c r="B144" s="13" t="s">
        <v>4</v>
      </c>
      <c r="C144" s="14" t="s">
        <v>200</v>
      </c>
      <c r="D144" s="16">
        <v>630000</v>
      </c>
      <c r="E144" s="16">
        <v>630000</v>
      </c>
      <c r="F144" s="16">
        <v>295200</v>
      </c>
      <c r="G144" s="88">
        <f>SUM(G145)</f>
        <v>909700</v>
      </c>
      <c r="H144" s="74"/>
      <c r="J144" s="41"/>
      <c r="K144" s="41"/>
    </row>
    <row r="145" spans="1:11" ht="48" x14ac:dyDescent="0.25">
      <c r="A145" s="18"/>
      <c r="B145" s="18" t="s">
        <v>201</v>
      </c>
      <c r="C145" s="19" t="s">
        <v>202</v>
      </c>
      <c r="D145" s="21">
        <v>630000</v>
      </c>
      <c r="E145" s="21">
        <v>630000</v>
      </c>
      <c r="F145" s="21">
        <v>295200</v>
      </c>
      <c r="G145" s="85">
        <f>60500+75000+75000+72600+94000+460000+72600</f>
        <v>909700</v>
      </c>
      <c r="H145" s="91" t="s">
        <v>449</v>
      </c>
      <c r="J145" s="41"/>
      <c r="K145" s="41"/>
    </row>
    <row r="146" spans="1:11" x14ac:dyDescent="0.25">
      <c r="A146" s="13" t="s">
        <v>76</v>
      </c>
      <c r="B146" s="13" t="s">
        <v>4</v>
      </c>
      <c r="C146" s="14" t="s">
        <v>77</v>
      </c>
      <c r="D146" s="16">
        <v>23590000</v>
      </c>
      <c r="E146" s="16">
        <v>29664000</v>
      </c>
      <c r="F146" s="16">
        <v>25923280.039999999</v>
      </c>
      <c r="G146" s="88">
        <f>SUM(G147:G152)</f>
        <v>27723081</v>
      </c>
      <c r="H146" s="74"/>
      <c r="J146" s="41"/>
      <c r="K146" s="41"/>
    </row>
    <row r="147" spans="1:11" x14ac:dyDescent="0.25">
      <c r="A147" s="18"/>
      <c r="B147" s="92">
        <v>5164</v>
      </c>
      <c r="C147" s="19" t="s">
        <v>138</v>
      </c>
      <c r="D147" s="18"/>
      <c r="E147" s="18"/>
      <c r="F147" s="18"/>
      <c r="G147" s="85">
        <v>1916640</v>
      </c>
      <c r="H147" s="18" t="s">
        <v>450</v>
      </c>
      <c r="J147" s="41"/>
      <c r="K147" s="41"/>
    </row>
    <row r="148" spans="1:11" x14ac:dyDescent="0.25">
      <c r="A148" s="18"/>
      <c r="B148" s="18" t="s">
        <v>203</v>
      </c>
      <c r="C148" s="19" t="s">
        <v>204</v>
      </c>
      <c r="D148" s="21">
        <v>450000</v>
      </c>
      <c r="E148" s="21">
        <v>450000</v>
      </c>
      <c r="F148" s="21">
        <v>413892.23</v>
      </c>
      <c r="G148" s="85">
        <v>450000</v>
      </c>
      <c r="H148" s="75"/>
      <c r="J148" s="41"/>
      <c r="K148" s="41"/>
    </row>
    <row r="149" spans="1:11" x14ac:dyDescent="0.25">
      <c r="A149" s="18"/>
      <c r="B149" s="18" t="s">
        <v>133</v>
      </c>
      <c r="C149" s="19" t="s">
        <v>134</v>
      </c>
      <c r="D149" s="21">
        <v>150000</v>
      </c>
      <c r="E149" s="21">
        <v>230000</v>
      </c>
      <c r="F149" s="21">
        <v>210343.61</v>
      </c>
      <c r="G149" s="85">
        <v>230000</v>
      </c>
      <c r="H149" s="75"/>
      <c r="J149" s="41"/>
      <c r="K149" s="41"/>
    </row>
    <row r="150" spans="1:11" ht="24.75" x14ac:dyDescent="0.25">
      <c r="A150" s="18"/>
      <c r="B150" s="18" t="s">
        <v>139</v>
      </c>
      <c r="C150" s="19" t="s">
        <v>140</v>
      </c>
      <c r="D150" s="21">
        <v>22590000</v>
      </c>
      <c r="E150" s="21">
        <v>22590000</v>
      </c>
      <c r="F150" s="21">
        <v>22590000</v>
      </c>
      <c r="G150" s="85">
        <v>24626441</v>
      </c>
      <c r="H150" s="75" t="s">
        <v>432</v>
      </c>
      <c r="J150" s="41"/>
      <c r="K150" s="41"/>
    </row>
    <row r="151" spans="1:11" x14ac:dyDescent="0.25">
      <c r="A151" s="18"/>
      <c r="B151" s="18" t="s">
        <v>126</v>
      </c>
      <c r="C151" s="19" t="s">
        <v>127</v>
      </c>
      <c r="D151" s="21">
        <v>100000</v>
      </c>
      <c r="E151" s="21">
        <v>6094000</v>
      </c>
      <c r="F151" s="21">
        <v>2612244.2000000002</v>
      </c>
      <c r="G151" s="132">
        <v>300000</v>
      </c>
      <c r="H151" s="75" t="s">
        <v>487</v>
      </c>
      <c r="J151" s="41"/>
      <c r="K151" s="41"/>
    </row>
    <row r="152" spans="1:11" x14ac:dyDescent="0.25">
      <c r="A152" s="18"/>
      <c r="B152" s="18" t="s">
        <v>205</v>
      </c>
      <c r="C152" s="19" t="s">
        <v>206</v>
      </c>
      <c r="D152" s="21">
        <v>300000</v>
      </c>
      <c r="E152" s="21">
        <v>300000</v>
      </c>
      <c r="F152" s="21">
        <v>96800</v>
      </c>
      <c r="G152" s="85">
        <v>200000</v>
      </c>
      <c r="H152" s="75"/>
      <c r="J152" s="41"/>
      <c r="K152" s="41"/>
    </row>
    <row r="153" spans="1:11" x14ac:dyDescent="0.25">
      <c r="A153" s="13" t="s">
        <v>207</v>
      </c>
      <c r="B153" s="13" t="s">
        <v>4</v>
      </c>
      <c r="C153" s="14" t="s">
        <v>208</v>
      </c>
      <c r="D153" s="16">
        <v>200000</v>
      </c>
      <c r="E153" s="16">
        <v>200000</v>
      </c>
      <c r="F153" s="16">
        <v>151326.48000000001</v>
      </c>
      <c r="G153" s="88">
        <f>SUM(G154)</f>
        <v>200000</v>
      </c>
      <c r="H153" s="74"/>
      <c r="J153" s="41"/>
      <c r="K153" s="41"/>
    </row>
    <row r="154" spans="1:11" x14ac:dyDescent="0.25">
      <c r="A154" s="18"/>
      <c r="B154" s="18" t="s">
        <v>133</v>
      </c>
      <c r="C154" s="19" t="s">
        <v>134</v>
      </c>
      <c r="D154" s="21">
        <v>200000</v>
      </c>
      <c r="E154" s="21">
        <v>200000</v>
      </c>
      <c r="F154" s="21">
        <v>151326.48000000001</v>
      </c>
      <c r="G154" s="85">
        <v>200000</v>
      </c>
      <c r="H154" s="75"/>
      <c r="J154" s="41"/>
      <c r="K154" s="41"/>
    </row>
    <row r="155" spans="1:11" x14ac:dyDescent="0.25">
      <c r="A155" s="13" t="s">
        <v>83</v>
      </c>
      <c r="B155" s="13" t="s">
        <v>4</v>
      </c>
      <c r="C155" s="14" t="s">
        <v>84</v>
      </c>
      <c r="D155" s="16">
        <v>7250000</v>
      </c>
      <c r="E155" s="16">
        <v>7250000</v>
      </c>
      <c r="F155" s="16">
        <v>4168564.61</v>
      </c>
      <c r="G155" s="88">
        <f>SUM(G156:G160)</f>
        <v>11727000</v>
      </c>
      <c r="H155" s="74"/>
      <c r="J155" s="41"/>
      <c r="K155" s="41"/>
    </row>
    <row r="156" spans="1:11" x14ac:dyDescent="0.25">
      <c r="A156" s="18"/>
      <c r="B156" s="92">
        <v>5137</v>
      </c>
      <c r="C156" s="19" t="s">
        <v>411</v>
      </c>
      <c r="D156" s="21"/>
      <c r="E156" s="21"/>
      <c r="F156" s="21"/>
      <c r="G156" s="85">
        <v>2400000</v>
      </c>
      <c r="H156" s="75" t="s">
        <v>410</v>
      </c>
      <c r="J156" s="41"/>
      <c r="K156" s="41"/>
    </row>
    <row r="157" spans="1:11" x14ac:dyDescent="0.25">
      <c r="A157" s="18"/>
      <c r="B157" s="18" t="s">
        <v>131</v>
      </c>
      <c r="C157" s="19" t="s">
        <v>132</v>
      </c>
      <c r="D157" s="21">
        <v>60000</v>
      </c>
      <c r="E157" s="21">
        <v>60000</v>
      </c>
      <c r="F157" s="21">
        <v>46071.6</v>
      </c>
      <c r="G157" s="85">
        <v>65000</v>
      </c>
      <c r="H157" s="75" t="s">
        <v>451</v>
      </c>
      <c r="J157" s="41"/>
      <c r="K157" s="41"/>
    </row>
    <row r="158" spans="1:11" ht="24" x14ac:dyDescent="0.25">
      <c r="A158" s="18"/>
      <c r="B158" s="18" t="s">
        <v>203</v>
      </c>
      <c r="C158" s="19" t="s">
        <v>204</v>
      </c>
      <c r="D158" s="21">
        <v>140000</v>
      </c>
      <c r="E158" s="21">
        <v>140000</v>
      </c>
      <c r="F158" s="21">
        <v>83490</v>
      </c>
      <c r="G158" s="85">
        <f>90000+90000+50000</f>
        <v>230000</v>
      </c>
      <c r="H158" s="91" t="s">
        <v>477</v>
      </c>
      <c r="J158" s="41"/>
      <c r="K158" s="41"/>
    </row>
    <row r="159" spans="1:11" ht="24" x14ac:dyDescent="0.25">
      <c r="A159" s="18"/>
      <c r="B159" s="18" t="s">
        <v>133</v>
      </c>
      <c r="C159" s="19" t="s">
        <v>134</v>
      </c>
      <c r="D159" s="21">
        <v>6650000</v>
      </c>
      <c r="E159" s="21">
        <v>6650000</v>
      </c>
      <c r="F159" s="21">
        <v>3739116.56</v>
      </c>
      <c r="G159" s="85">
        <v>8032000</v>
      </c>
      <c r="H159" s="91" t="s">
        <v>373</v>
      </c>
      <c r="J159" s="41"/>
      <c r="K159" s="41"/>
    </row>
    <row r="160" spans="1:11" x14ac:dyDescent="0.25">
      <c r="A160" s="18"/>
      <c r="B160" s="18" t="s">
        <v>126</v>
      </c>
      <c r="C160" s="19" t="s">
        <v>127</v>
      </c>
      <c r="D160" s="21">
        <v>400000</v>
      </c>
      <c r="E160" s="21">
        <v>400000</v>
      </c>
      <c r="F160" s="21">
        <v>299886.45</v>
      </c>
      <c r="G160" s="85">
        <v>1000000</v>
      </c>
      <c r="H160" s="91" t="s">
        <v>409</v>
      </c>
      <c r="J160" s="41"/>
      <c r="K160" s="41"/>
    </row>
    <row r="161" spans="1:11" x14ac:dyDescent="0.25">
      <c r="A161" s="13" t="s">
        <v>209</v>
      </c>
      <c r="B161" s="13" t="s">
        <v>4</v>
      </c>
      <c r="C161" s="14" t="s">
        <v>210</v>
      </c>
      <c r="D161" s="16">
        <v>34000</v>
      </c>
      <c r="E161" s="16">
        <v>34000</v>
      </c>
      <c r="F161" s="16">
        <v>0</v>
      </c>
      <c r="G161" s="88">
        <f>SUM(G162:G164)</f>
        <v>34000</v>
      </c>
      <c r="H161" s="74"/>
      <c r="J161" s="41"/>
      <c r="K161" s="41"/>
    </row>
    <row r="162" spans="1:11" x14ac:dyDescent="0.25">
      <c r="A162" s="18"/>
      <c r="B162" s="18" t="s">
        <v>148</v>
      </c>
      <c r="C162" s="19" t="s">
        <v>149</v>
      </c>
      <c r="D162" s="21">
        <v>10000</v>
      </c>
      <c r="E162" s="21">
        <v>10000</v>
      </c>
      <c r="F162" s="21">
        <v>0</v>
      </c>
      <c r="G162" s="85">
        <v>10000</v>
      </c>
      <c r="H162" s="75" t="s">
        <v>374</v>
      </c>
      <c r="J162" s="41"/>
      <c r="K162" s="41"/>
    </row>
    <row r="163" spans="1:11" x14ac:dyDescent="0.25">
      <c r="A163" s="18"/>
      <c r="B163" s="18" t="s">
        <v>131</v>
      </c>
      <c r="C163" s="19" t="s">
        <v>132</v>
      </c>
      <c r="D163" s="21">
        <v>8000</v>
      </c>
      <c r="E163" s="21">
        <v>8000</v>
      </c>
      <c r="F163" s="21">
        <v>0</v>
      </c>
      <c r="G163" s="85">
        <v>8000</v>
      </c>
      <c r="H163" s="75" t="s">
        <v>375</v>
      </c>
      <c r="J163" s="41"/>
      <c r="K163" s="41"/>
    </row>
    <row r="164" spans="1:11" ht="36" x14ac:dyDescent="0.25">
      <c r="A164" s="18"/>
      <c r="B164" s="18" t="s">
        <v>133</v>
      </c>
      <c r="C164" s="19" t="s">
        <v>134</v>
      </c>
      <c r="D164" s="21">
        <v>16000</v>
      </c>
      <c r="E164" s="21">
        <v>16000</v>
      </c>
      <c r="F164" s="21">
        <v>0</v>
      </c>
      <c r="G164" s="85">
        <v>16000</v>
      </c>
      <c r="H164" s="91" t="s">
        <v>421</v>
      </c>
      <c r="J164" s="41"/>
      <c r="K164" s="41"/>
    </row>
    <row r="165" spans="1:11" x14ac:dyDescent="0.25">
      <c r="A165" s="13" t="s">
        <v>211</v>
      </c>
      <c r="B165" s="13" t="s">
        <v>4</v>
      </c>
      <c r="C165" s="14" t="s">
        <v>212</v>
      </c>
      <c r="D165" s="16">
        <v>8900000</v>
      </c>
      <c r="E165" s="16">
        <v>8900000</v>
      </c>
      <c r="F165" s="16">
        <v>172334</v>
      </c>
      <c r="G165" s="88">
        <f>SUM(G166)</f>
        <v>0</v>
      </c>
      <c r="H165" s="74"/>
      <c r="J165" s="41"/>
      <c r="K165" s="41"/>
    </row>
    <row r="166" spans="1:11" x14ac:dyDescent="0.25">
      <c r="A166" s="18"/>
      <c r="B166" s="18" t="s">
        <v>126</v>
      </c>
      <c r="C166" s="19" t="s">
        <v>127</v>
      </c>
      <c r="D166" s="21">
        <v>8900000</v>
      </c>
      <c r="E166" s="21">
        <v>8900000</v>
      </c>
      <c r="F166" s="21">
        <v>172334</v>
      </c>
      <c r="G166" s="85" t="s">
        <v>325</v>
      </c>
      <c r="H166" s="101"/>
      <c r="J166" s="41"/>
      <c r="K166" s="41"/>
    </row>
    <row r="167" spans="1:11" x14ac:dyDescent="0.25">
      <c r="A167" s="13" t="s">
        <v>85</v>
      </c>
      <c r="B167" s="13" t="s">
        <v>4</v>
      </c>
      <c r="C167" s="14" t="s">
        <v>86</v>
      </c>
      <c r="D167" s="16">
        <v>2930000</v>
      </c>
      <c r="E167" s="16">
        <v>3014607</v>
      </c>
      <c r="F167" s="16">
        <v>1292517.1499999999</v>
      </c>
      <c r="G167" s="88">
        <f>SUM(G168:G173)</f>
        <v>3640500</v>
      </c>
      <c r="H167" s="74"/>
      <c r="J167" s="41"/>
      <c r="K167" s="41"/>
    </row>
    <row r="168" spans="1:11" x14ac:dyDescent="0.25">
      <c r="A168" s="18"/>
      <c r="B168" s="18" t="s">
        <v>148</v>
      </c>
      <c r="C168" s="19" t="s">
        <v>149</v>
      </c>
      <c r="D168" s="21">
        <v>100000</v>
      </c>
      <c r="E168" s="21">
        <v>100000</v>
      </c>
      <c r="F168" s="21">
        <v>0</v>
      </c>
      <c r="G168" s="85">
        <v>30000</v>
      </c>
      <c r="H168" s="75" t="s">
        <v>376</v>
      </c>
      <c r="J168" s="41"/>
      <c r="K168" s="41"/>
    </row>
    <row r="169" spans="1:11" x14ac:dyDescent="0.25">
      <c r="A169" s="18"/>
      <c r="B169" s="18" t="s">
        <v>158</v>
      </c>
      <c r="C169" s="19" t="s">
        <v>159</v>
      </c>
      <c r="D169" s="21">
        <v>450000</v>
      </c>
      <c r="E169" s="21">
        <v>450000</v>
      </c>
      <c r="F169" s="21">
        <v>384616.52</v>
      </c>
      <c r="G169" s="85">
        <v>445000</v>
      </c>
      <c r="H169" s="75" t="s">
        <v>377</v>
      </c>
      <c r="J169" s="41"/>
      <c r="K169" s="41"/>
    </row>
    <row r="170" spans="1:11" x14ac:dyDescent="0.25">
      <c r="A170" s="18"/>
      <c r="B170" s="18" t="s">
        <v>131</v>
      </c>
      <c r="C170" s="19" t="s">
        <v>132</v>
      </c>
      <c r="D170" s="21">
        <v>120000</v>
      </c>
      <c r="E170" s="21">
        <v>126000</v>
      </c>
      <c r="F170" s="21">
        <v>47364.07</v>
      </c>
      <c r="G170" s="85">
        <v>130000</v>
      </c>
      <c r="H170" s="75" t="s">
        <v>378</v>
      </c>
      <c r="J170" s="41"/>
      <c r="K170" s="41"/>
    </row>
    <row r="171" spans="1:11" ht="48" x14ac:dyDescent="0.25">
      <c r="A171" s="18"/>
      <c r="B171" s="18" t="s">
        <v>133</v>
      </c>
      <c r="C171" s="19" t="s">
        <v>134</v>
      </c>
      <c r="D171" s="21">
        <v>1640000</v>
      </c>
      <c r="E171" s="21">
        <v>1718607</v>
      </c>
      <c r="F171" s="21">
        <v>734113.95</v>
      </c>
      <c r="G171" s="85">
        <f>680000+220000+290000+60000+160000+40000+50000+40000+60000</f>
        <v>1600000</v>
      </c>
      <c r="H171" s="91" t="s">
        <v>379</v>
      </c>
      <c r="J171" s="41"/>
      <c r="K171" s="41"/>
    </row>
    <row r="172" spans="1:11" ht="24" x14ac:dyDescent="0.25">
      <c r="A172" s="18"/>
      <c r="B172" s="18" t="s">
        <v>124</v>
      </c>
      <c r="C172" s="19" t="s">
        <v>125</v>
      </c>
      <c r="D172" s="21">
        <v>210000</v>
      </c>
      <c r="E172" s="21">
        <v>210000</v>
      </c>
      <c r="F172" s="21">
        <v>87422.61</v>
      </c>
      <c r="G172" s="85">
        <v>300000</v>
      </c>
      <c r="H172" s="91" t="s">
        <v>380</v>
      </c>
      <c r="J172" s="41"/>
      <c r="K172" s="41"/>
    </row>
    <row r="173" spans="1:11" ht="48" x14ac:dyDescent="0.25">
      <c r="A173" s="18"/>
      <c r="B173" s="18" t="s">
        <v>126</v>
      </c>
      <c r="C173" s="19" t="s">
        <v>127</v>
      </c>
      <c r="D173" s="21">
        <v>410000</v>
      </c>
      <c r="E173" s="21">
        <v>410000</v>
      </c>
      <c r="F173" s="21">
        <v>39000</v>
      </c>
      <c r="G173" s="85">
        <f>250000+60000+350000+150000+150000+175500</f>
        <v>1135500</v>
      </c>
      <c r="H173" s="91" t="s">
        <v>478</v>
      </c>
      <c r="J173" s="41"/>
      <c r="K173" s="41"/>
    </row>
    <row r="174" spans="1:11" x14ac:dyDescent="0.25">
      <c r="A174" s="13" t="s">
        <v>213</v>
      </c>
      <c r="B174" s="13" t="s">
        <v>4</v>
      </c>
      <c r="C174" s="14" t="s">
        <v>214</v>
      </c>
      <c r="D174" s="16">
        <v>20000</v>
      </c>
      <c r="E174" s="16">
        <v>20000</v>
      </c>
      <c r="F174" s="16">
        <v>11616</v>
      </c>
      <c r="G174" s="88">
        <f>SUM(G175)</f>
        <v>230000</v>
      </c>
      <c r="H174" s="74"/>
      <c r="J174" s="41"/>
      <c r="K174" s="41"/>
    </row>
    <row r="175" spans="1:11" ht="24" x14ac:dyDescent="0.25">
      <c r="A175" s="18"/>
      <c r="B175" s="18" t="s">
        <v>133</v>
      </c>
      <c r="C175" s="19" t="s">
        <v>134</v>
      </c>
      <c r="D175" s="21">
        <v>20000</v>
      </c>
      <c r="E175" s="21">
        <v>20000</v>
      </c>
      <c r="F175" s="21">
        <v>11616</v>
      </c>
      <c r="G175" s="85">
        <f>230000</f>
        <v>230000</v>
      </c>
      <c r="H175" s="114" t="s">
        <v>479</v>
      </c>
      <c r="J175" s="41"/>
      <c r="K175" s="41"/>
    </row>
    <row r="176" spans="1:11" ht="24.75" x14ac:dyDescent="0.25">
      <c r="A176" s="13" t="s">
        <v>215</v>
      </c>
      <c r="B176" s="13" t="s">
        <v>4</v>
      </c>
      <c r="C176" s="14" t="s">
        <v>216</v>
      </c>
      <c r="D176" s="16">
        <v>558000</v>
      </c>
      <c r="E176" s="16">
        <v>698000</v>
      </c>
      <c r="F176" s="16">
        <v>197127.89</v>
      </c>
      <c r="G176" s="88">
        <f>SUM(G177:G178)</f>
        <v>550000</v>
      </c>
      <c r="H176" s="74"/>
      <c r="J176" s="41"/>
      <c r="K176" s="41"/>
    </row>
    <row r="177" spans="1:11" ht="24" x14ac:dyDescent="0.25">
      <c r="A177" s="18"/>
      <c r="B177" s="18" t="s">
        <v>135</v>
      </c>
      <c r="C177" s="19" t="s">
        <v>136</v>
      </c>
      <c r="D177" s="21">
        <v>558000</v>
      </c>
      <c r="E177" s="21">
        <v>658000</v>
      </c>
      <c r="F177" s="21">
        <v>189780.5</v>
      </c>
      <c r="G177" s="85">
        <v>550000</v>
      </c>
      <c r="H177" s="91" t="s">
        <v>354</v>
      </c>
      <c r="J177" s="41"/>
      <c r="K177" s="41"/>
    </row>
    <row r="178" spans="1:11" x14ac:dyDescent="0.25">
      <c r="A178" s="18"/>
      <c r="B178" s="18" t="s">
        <v>181</v>
      </c>
      <c r="C178" s="19" t="s">
        <v>182</v>
      </c>
      <c r="D178" s="21">
        <v>0</v>
      </c>
      <c r="E178" s="21">
        <v>40000</v>
      </c>
      <c r="F178" s="21">
        <v>7347.39</v>
      </c>
      <c r="G178" s="85"/>
      <c r="H178" s="75"/>
      <c r="J178" s="41"/>
      <c r="K178" s="41"/>
    </row>
    <row r="179" spans="1:11" ht="24.75" x14ac:dyDescent="0.25">
      <c r="A179" s="13" t="s">
        <v>101</v>
      </c>
      <c r="B179" s="13" t="s">
        <v>4</v>
      </c>
      <c r="C179" s="14" t="s">
        <v>102</v>
      </c>
      <c r="D179" s="16">
        <v>2593200</v>
      </c>
      <c r="E179" s="16">
        <v>2689625.46</v>
      </c>
      <c r="F179" s="16">
        <v>1843998.74</v>
      </c>
      <c r="G179" s="88">
        <f>SUM(G180:G193)</f>
        <v>2948100</v>
      </c>
      <c r="H179" s="74"/>
      <c r="J179" s="41"/>
      <c r="K179" s="41"/>
    </row>
    <row r="180" spans="1:11" ht="24.75" x14ac:dyDescent="0.25">
      <c r="A180" s="18"/>
      <c r="B180" s="18" t="s">
        <v>146</v>
      </c>
      <c r="C180" s="19" t="s">
        <v>147</v>
      </c>
      <c r="D180" s="21">
        <v>1180000</v>
      </c>
      <c r="E180" s="21">
        <v>1180000</v>
      </c>
      <c r="F180" s="21">
        <v>808474</v>
      </c>
      <c r="G180" s="85">
        <v>1450000</v>
      </c>
      <c r="H180" s="75" t="s">
        <v>355</v>
      </c>
      <c r="J180" s="41"/>
      <c r="K180" s="41"/>
    </row>
    <row r="181" spans="1:11" x14ac:dyDescent="0.25">
      <c r="A181" s="18"/>
      <c r="B181" s="18" t="s">
        <v>148</v>
      </c>
      <c r="C181" s="19" t="s">
        <v>149</v>
      </c>
      <c r="D181" s="21">
        <v>0</v>
      </c>
      <c r="E181" s="21">
        <v>0</v>
      </c>
      <c r="F181" s="21">
        <v>765</v>
      </c>
      <c r="G181" s="85" t="s">
        <v>325</v>
      </c>
      <c r="H181" s="75"/>
      <c r="J181" s="41"/>
      <c r="K181" s="41"/>
    </row>
    <row r="182" spans="1:11" ht="24.75" x14ac:dyDescent="0.25">
      <c r="A182" s="18"/>
      <c r="B182" s="18" t="s">
        <v>150</v>
      </c>
      <c r="C182" s="19" t="s">
        <v>151</v>
      </c>
      <c r="D182" s="21">
        <v>293000</v>
      </c>
      <c r="E182" s="21">
        <v>293000</v>
      </c>
      <c r="F182" s="21">
        <v>194940.3</v>
      </c>
      <c r="G182" s="85">
        <f>G180*0.248</f>
        <v>359600</v>
      </c>
      <c r="H182" s="75"/>
      <c r="J182" s="41"/>
      <c r="K182" s="41"/>
    </row>
    <row r="183" spans="1:11" x14ac:dyDescent="0.25">
      <c r="A183" s="18"/>
      <c r="B183" s="18" t="s">
        <v>152</v>
      </c>
      <c r="C183" s="19" t="s">
        <v>153</v>
      </c>
      <c r="D183" s="21">
        <v>106200</v>
      </c>
      <c r="E183" s="21">
        <v>106200</v>
      </c>
      <c r="F183" s="21">
        <v>70562.5</v>
      </c>
      <c r="G183" s="85">
        <f>G180*0.09</f>
        <v>130500</v>
      </c>
      <c r="H183" s="75"/>
      <c r="J183" s="41"/>
      <c r="K183" s="41"/>
    </row>
    <row r="184" spans="1:11" x14ac:dyDescent="0.25">
      <c r="A184" s="18"/>
      <c r="B184" s="18" t="s">
        <v>217</v>
      </c>
      <c r="C184" s="19" t="s">
        <v>218</v>
      </c>
      <c r="D184" s="21">
        <v>8000</v>
      </c>
      <c r="E184" s="21">
        <v>8000</v>
      </c>
      <c r="F184" s="21">
        <v>5335</v>
      </c>
      <c r="G184" s="85">
        <v>10000</v>
      </c>
      <c r="H184" s="75"/>
      <c r="J184" s="41"/>
      <c r="K184" s="41"/>
    </row>
    <row r="185" spans="1:11" x14ac:dyDescent="0.25">
      <c r="A185" s="18"/>
      <c r="B185" s="18" t="s">
        <v>158</v>
      </c>
      <c r="C185" s="19" t="s">
        <v>159</v>
      </c>
      <c r="D185" s="21">
        <v>30000</v>
      </c>
      <c r="E185" s="21">
        <v>30000</v>
      </c>
      <c r="F185" s="21">
        <v>9153</v>
      </c>
      <c r="G185" s="85">
        <v>12000</v>
      </c>
      <c r="H185" s="91" t="s">
        <v>356</v>
      </c>
      <c r="J185" s="41"/>
      <c r="K185" s="41"/>
    </row>
    <row r="186" spans="1:11" x14ac:dyDescent="0.25">
      <c r="A186" s="18"/>
      <c r="B186" s="18" t="s">
        <v>131</v>
      </c>
      <c r="C186" s="19" t="s">
        <v>132</v>
      </c>
      <c r="D186" s="21">
        <v>13000</v>
      </c>
      <c r="E186" s="21">
        <v>13000</v>
      </c>
      <c r="F186" s="21">
        <v>6992.18</v>
      </c>
      <c r="G186" s="85">
        <v>13000</v>
      </c>
      <c r="H186" s="75" t="s">
        <v>357</v>
      </c>
      <c r="J186" s="41"/>
      <c r="K186" s="41"/>
    </row>
    <row r="187" spans="1:11" x14ac:dyDescent="0.25">
      <c r="A187" s="18"/>
      <c r="B187" s="18" t="s">
        <v>219</v>
      </c>
      <c r="C187" s="19" t="s">
        <v>220</v>
      </c>
      <c r="D187" s="21">
        <v>10000</v>
      </c>
      <c r="E187" s="21">
        <v>10000</v>
      </c>
      <c r="F187" s="21">
        <v>20974.23</v>
      </c>
      <c r="G187" s="85">
        <v>20000</v>
      </c>
      <c r="H187" s="75"/>
      <c r="J187" s="41"/>
      <c r="K187" s="41"/>
    </row>
    <row r="188" spans="1:11" x14ac:dyDescent="0.25">
      <c r="A188" s="18"/>
      <c r="B188" s="18" t="s">
        <v>166</v>
      </c>
      <c r="C188" s="19" t="s">
        <v>167</v>
      </c>
      <c r="D188" s="21">
        <v>25000</v>
      </c>
      <c r="E188" s="21">
        <v>25000</v>
      </c>
      <c r="F188" s="21">
        <v>4800</v>
      </c>
      <c r="G188" s="85">
        <v>25000</v>
      </c>
      <c r="H188" s="75" t="s">
        <v>358</v>
      </c>
      <c r="J188" s="41"/>
      <c r="K188" s="41"/>
    </row>
    <row r="189" spans="1:11" x14ac:dyDescent="0.25">
      <c r="A189" s="18"/>
      <c r="B189" s="18" t="s">
        <v>133</v>
      </c>
      <c r="C189" s="19" t="s">
        <v>134</v>
      </c>
      <c r="D189" s="21">
        <v>927000</v>
      </c>
      <c r="E189" s="21">
        <v>927000</v>
      </c>
      <c r="F189" s="21">
        <v>709229.01</v>
      </c>
      <c r="G189" s="85">
        <v>927000</v>
      </c>
      <c r="H189" s="91" t="s">
        <v>359</v>
      </c>
      <c r="J189" s="41"/>
      <c r="K189" s="41"/>
    </row>
    <row r="190" spans="1:11" x14ac:dyDescent="0.25">
      <c r="A190" s="18"/>
      <c r="B190" s="18" t="s">
        <v>168</v>
      </c>
      <c r="C190" s="19" t="s">
        <v>169</v>
      </c>
      <c r="D190" s="21">
        <v>1000</v>
      </c>
      <c r="E190" s="21">
        <v>1000</v>
      </c>
      <c r="F190" s="21">
        <v>0</v>
      </c>
      <c r="G190" s="85">
        <v>1000</v>
      </c>
      <c r="H190" s="75"/>
      <c r="J190" s="41"/>
      <c r="K190" s="41"/>
    </row>
    <row r="191" spans="1:11" x14ac:dyDescent="0.25">
      <c r="A191" s="18"/>
      <c r="B191" s="18" t="s">
        <v>170</v>
      </c>
      <c r="C191" s="19" t="s">
        <v>171</v>
      </c>
      <c r="D191" s="21">
        <v>0</v>
      </c>
      <c r="E191" s="21">
        <v>30000</v>
      </c>
      <c r="F191" s="21">
        <v>7773.52</v>
      </c>
      <c r="G191" s="85"/>
      <c r="H191" s="75"/>
      <c r="J191" s="41"/>
      <c r="K191" s="41"/>
    </row>
    <row r="192" spans="1:11" x14ac:dyDescent="0.25">
      <c r="A192" s="18"/>
      <c r="B192" s="18" t="s">
        <v>172</v>
      </c>
      <c r="C192" s="19" t="s">
        <v>173</v>
      </c>
      <c r="D192" s="21">
        <v>0</v>
      </c>
      <c r="E192" s="21">
        <v>0</v>
      </c>
      <c r="F192" s="21">
        <v>5000</v>
      </c>
      <c r="G192" s="85" t="s">
        <v>325</v>
      </c>
      <c r="H192" s="75"/>
      <c r="J192" s="41"/>
      <c r="K192" s="41"/>
    </row>
    <row r="193" spans="1:11" x14ac:dyDescent="0.25">
      <c r="A193" s="18"/>
      <c r="B193" s="18" t="s">
        <v>135</v>
      </c>
      <c r="C193" s="19" t="s">
        <v>136</v>
      </c>
      <c r="D193" s="21">
        <v>0</v>
      </c>
      <c r="E193" s="21">
        <v>66425.460000000006</v>
      </c>
      <c r="F193" s="21">
        <v>0</v>
      </c>
      <c r="G193" s="85"/>
      <c r="H193" s="75"/>
      <c r="J193" s="41"/>
      <c r="K193" s="41"/>
    </row>
    <row r="194" spans="1:11" x14ac:dyDescent="0.25">
      <c r="A194" s="13" t="s">
        <v>221</v>
      </c>
      <c r="B194" s="13" t="s">
        <v>4</v>
      </c>
      <c r="C194" s="14" t="s">
        <v>222</v>
      </c>
      <c r="D194" s="16">
        <v>100000</v>
      </c>
      <c r="E194" s="16">
        <v>100000</v>
      </c>
      <c r="F194" s="16">
        <v>0</v>
      </c>
      <c r="G194" s="88">
        <f>SUM(G195)</f>
        <v>100000</v>
      </c>
      <c r="H194" s="74"/>
      <c r="J194" s="41"/>
      <c r="K194" s="41"/>
    </row>
    <row r="195" spans="1:11" x14ac:dyDescent="0.25">
      <c r="A195" s="18"/>
      <c r="B195" s="18" t="s">
        <v>223</v>
      </c>
      <c r="C195" s="19" t="s">
        <v>224</v>
      </c>
      <c r="D195" s="21">
        <v>100000</v>
      </c>
      <c r="E195" s="21">
        <v>100000</v>
      </c>
      <c r="F195" s="21">
        <v>0</v>
      </c>
      <c r="G195" s="85">
        <v>100000</v>
      </c>
      <c r="H195" s="75"/>
      <c r="J195" s="41"/>
      <c r="K195" s="41"/>
    </row>
    <row r="196" spans="1:11" x14ac:dyDescent="0.25">
      <c r="A196" s="13" t="s">
        <v>103</v>
      </c>
      <c r="B196" s="13" t="s">
        <v>4</v>
      </c>
      <c r="C196" s="14" t="s">
        <v>104</v>
      </c>
      <c r="D196" s="16">
        <v>10189460</v>
      </c>
      <c r="E196" s="16">
        <v>10189790</v>
      </c>
      <c r="F196" s="16">
        <v>5227304.1100000003</v>
      </c>
      <c r="G196" s="88">
        <f>SUM(G197:G217)</f>
        <v>10419360</v>
      </c>
      <c r="H196" s="74"/>
      <c r="J196" s="41"/>
      <c r="K196" s="41"/>
    </row>
    <row r="197" spans="1:11" ht="24.75" x14ac:dyDescent="0.25">
      <c r="A197" s="18"/>
      <c r="B197" s="18" t="s">
        <v>146</v>
      </c>
      <c r="C197" s="19" t="s">
        <v>147</v>
      </c>
      <c r="D197" s="21">
        <v>6650000</v>
      </c>
      <c r="E197" s="21">
        <v>6650000</v>
      </c>
      <c r="F197" s="21">
        <v>3369583</v>
      </c>
      <c r="G197" s="85">
        <v>6800000</v>
      </c>
      <c r="H197" s="75" t="s">
        <v>361</v>
      </c>
      <c r="J197" s="41"/>
      <c r="K197" s="41"/>
    </row>
    <row r="198" spans="1:11" x14ac:dyDescent="0.25">
      <c r="A198" s="18"/>
      <c r="B198" s="18" t="s">
        <v>148</v>
      </c>
      <c r="C198" s="19" t="s">
        <v>149</v>
      </c>
      <c r="D198" s="21">
        <v>55000</v>
      </c>
      <c r="E198" s="21">
        <v>55000</v>
      </c>
      <c r="F198" s="21">
        <v>63426</v>
      </c>
      <c r="G198" s="85">
        <v>55000</v>
      </c>
      <c r="H198" s="75" t="s">
        <v>360</v>
      </c>
      <c r="J198" s="41"/>
      <c r="K198" s="41"/>
    </row>
    <row r="199" spans="1:11" ht="24.75" x14ac:dyDescent="0.25">
      <c r="A199" s="18"/>
      <c r="B199" s="18" t="s">
        <v>150</v>
      </c>
      <c r="C199" s="19" t="s">
        <v>151</v>
      </c>
      <c r="D199" s="21">
        <v>1650000</v>
      </c>
      <c r="E199" s="21">
        <v>1650000</v>
      </c>
      <c r="F199" s="21">
        <v>844415</v>
      </c>
      <c r="G199" s="85">
        <f>G197*0.248</f>
        <v>1686400</v>
      </c>
      <c r="H199" s="75"/>
      <c r="J199" s="41"/>
      <c r="K199" s="41"/>
    </row>
    <row r="200" spans="1:11" x14ac:dyDescent="0.25">
      <c r="A200" s="18"/>
      <c r="B200" s="18" t="s">
        <v>152</v>
      </c>
      <c r="C200" s="19" t="s">
        <v>153</v>
      </c>
      <c r="D200" s="21">
        <v>598500</v>
      </c>
      <c r="E200" s="21">
        <v>598500</v>
      </c>
      <c r="F200" s="21">
        <v>306444</v>
      </c>
      <c r="G200" s="85">
        <f>G197*0.09</f>
        <v>612000</v>
      </c>
      <c r="H200" s="75"/>
      <c r="J200" s="41"/>
      <c r="K200" s="41"/>
    </row>
    <row r="201" spans="1:11" x14ac:dyDescent="0.25">
      <c r="A201" s="18"/>
      <c r="B201" s="18" t="s">
        <v>217</v>
      </c>
      <c r="C201" s="19" t="s">
        <v>218</v>
      </c>
      <c r="D201" s="21">
        <v>80000</v>
      </c>
      <c r="E201" s="21">
        <v>80000</v>
      </c>
      <c r="F201" s="21">
        <v>55213</v>
      </c>
      <c r="G201" s="85">
        <v>100000</v>
      </c>
      <c r="H201" s="91" t="s">
        <v>362</v>
      </c>
      <c r="J201" s="41"/>
      <c r="K201" s="41"/>
    </row>
    <row r="202" spans="1:11" x14ac:dyDescent="0.25">
      <c r="A202" s="18"/>
      <c r="B202" s="18" t="s">
        <v>154</v>
      </c>
      <c r="C202" s="19" t="s">
        <v>155</v>
      </c>
      <c r="D202" s="21">
        <v>1000</v>
      </c>
      <c r="E202" s="21">
        <v>1330</v>
      </c>
      <c r="F202" s="21">
        <v>1327.8</v>
      </c>
      <c r="G202" s="85">
        <v>1000</v>
      </c>
      <c r="H202" s="75"/>
      <c r="J202" s="41"/>
      <c r="K202" s="41"/>
    </row>
    <row r="203" spans="1:11" x14ac:dyDescent="0.25">
      <c r="A203" s="18"/>
      <c r="B203" s="18" t="s">
        <v>156</v>
      </c>
      <c r="C203" s="19" t="s">
        <v>157</v>
      </c>
      <c r="D203" s="21">
        <v>1000</v>
      </c>
      <c r="E203" s="21">
        <v>1000</v>
      </c>
      <c r="F203" s="21">
        <v>660</v>
      </c>
      <c r="G203" s="85">
        <v>1000</v>
      </c>
      <c r="H203" s="75"/>
      <c r="J203" s="41"/>
      <c r="K203" s="41"/>
    </row>
    <row r="204" spans="1:11" x14ac:dyDescent="0.25">
      <c r="A204" s="18"/>
      <c r="B204" s="18" t="s">
        <v>158</v>
      </c>
      <c r="C204" s="19" t="s">
        <v>159</v>
      </c>
      <c r="D204" s="21">
        <v>60000</v>
      </c>
      <c r="E204" s="21">
        <v>60000</v>
      </c>
      <c r="F204" s="21">
        <v>23423</v>
      </c>
      <c r="G204" s="85">
        <v>50000</v>
      </c>
      <c r="H204" s="75"/>
      <c r="J204" s="41"/>
      <c r="K204" s="41"/>
    </row>
    <row r="205" spans="1:11" x14ac:dyDescent="0.25">
      <c r="A205" s="18"/>
      <c r="B205" s="18" t="s">
        <v>131</v>
      </c>
      <c r="C205" s="19" t="s">
        <v>132</v>
      </c>
      <c r="D205" s="21">
        <v>40000</v>
      </c>
      <c r="E205" s="21">
        <v>40000</v>
      </c>
      <c r="F205" s="21">
        <v>11715.6</v>
      </c>
      <c r="G205" s="85">
        <v>35000</v>
      </c>
      <c r="H205" s="75"/>
      <c r="J205" s="41"/>
      <c r="K205" s="41"/>
    </row>
    <row r="206" spans="1:11" ht="24.75" x14ac:dyDescent="0.25">
      <c r="A206" s="18"/>
      <c r="B206" s="18" t="s">
        <v>160</v>
      </c>
      <c r="C206" s="19" t="s">
        <v>161</v>
      </c>
      <c r="D206" s="21">
        <v>6000</v>
      </c>
      <c r="E206" s="21">
        <v>6000</v>
      </c>
      <c r="F206" s="21">
        <v>3390</v>
      </c>
      <c r="G206" s="85">
        <v>6000</v>
      </c>
      <c r="H206" s="75"/>
      <c r="J206" s="41"/>
      <c r="K206" s="41"/>
    </row>
    <row r="207" spans="1:11" x14ac:dyDescent="0.25">
      <c r="A207" s="18"/>
      <c r="B207" s="18" t="s">
        <v>162</v>
      </c>
      <c r="C207" s="19" t="s">
        <v>163</v>
      </c>
      <c r="D207" s="21">
        <v>80000</v>
      </c>
      <c r="E207" s="21">
        <v>80000</v>
      </c>
      <c r="F207" s="21">
        <v>104727.48</v>
      </c>
      <c r="G207" s="85">
        <v>140000</v>
      </c>
      <c r="H207" s="75"/>
      <c r="J207" s="41"/>
      <c r="K207" s="41"/>
    </row>
    <row r="208" spans="1:11" x14ac:dyDescent="0.25">
      <c r="A208" s="18"/>
      <c r="B208" s="18" t="s">
        <v>122</v>
      </c>
      <c r="C208" s="19" t="s">
        <v>123</v>
      </c>
      <c r="D208" s="21">
        <v>65000</v>
      </c>
      <c r="E208" s="21">
        <v>65000</v>
      </c>
      <c r="F208" s="21">
        <v>45393</v>
      </c>
      <c r="G208" s="85">
        <v>65000</v>
      </c>
      <c r="H208" s="75"/>
      <c r="J208" s="41"/>
      <c r="K208" s="41"/>
    </row>
    <row r="209" spans="1:11" x14ac:dyDescent="0.25">
      <c r="A209" s="18"/>
      <c r="B209" s="18" t="s">
        <v>219</v>
      </c>
      <c r="C209" s="19" t="s">
        <v>220</v>
      </c>
      <c r="D209" s="21">
        <v>110000</v>
      </c>
      <c r="E209" s="21">
        <v>110000</v>
      </c>
      <c r="F209" s="21">
        <v>50405.87</v>
      </c>
      <c r="G209" s="85">
        <v>80000</v>
      </c>
      <c r="H209" s="75"/>
      <c r="J209" s="41"/>
      <c r="K209" s="41"/>
    </row>
    <row r="210" spans="1:11" x14ac:dyDescent="0.25">
      <c r="A210" s="18"/>
      <c r="B210" s="18" t="s">
        <v>225</v>
      </c>
      <c r="C210" s="19" t="s">
        <v>226</v>
      </c>
      <c r="D210" s="21">
        <v>15000</v>
      </c>
      <c r="E210" s="21">
        <v>15000</v>
      </c>
      <c r="F210" s="21">
        <v>9953.5499999999993</v>
      </c>
      <c r="G210" s="85">
        <v>15000</v>
      </c>
      <c r="H210" s="75"/>
      <c r="J210" s="41"/>
      <c r="K210" s="41"/>
    </row>
    <row r="211" spans="1:11" x14ac:dyDescent="0.25">
      <c r="A211" s="18"/>
      <c r="B211" s="18" t="s">
        <v>227</v>
      </c>
      <c r="C211" s="19" t="s">
        <v>228</v>
      </c>
      <c r="D211" s="21">
        <v>12960</v>
      </c>
      <c r="E211" s="21">
        <v>12960</v>
      </c>
      <c r="F211" s="21">
        <v>12960</v>
      </c>
      <c r="G211" s="85">
        <v>12960</v>
      </c>
      <c r="H211" s="75"/>
      <c r="J211" s="41"/>
      <c r="K211" s="41"/>
    </row>
    <row r="212" spans="1:11" x14ac:dyDescent="0.25">
      <c r="A212" s="18"/>
      <c r="B212" s="18" t="s">
        <v>166</v>
      </c>
      <c r="C212" s="19" t="s">
        <v>167</v>
      </c>
      <c r="D212" s="21">
        <v>25000</v>
      </c>
      <c r="E212" s="21">
        <v>25000</v>
      </c>
      <c r="F212" s="21">
        <v>23020</v>
      </c>
      <c r="G212" s="85">
        <v>50000</v>
      </c>
      <c r="H212" s="91" t="s">
        <v>363</v>
      </c>
      <c r="J212" s="41"/>
      <c r="K212" s="41"/>
    </row>
    <row r="213" spans="1:11" x14ac:dyDescent="0.25">
      <c r="A213" s="18"/>
      <c r="B213" s="18" t="s">
        <v>133</v>
      </c>
      <c r="C213" s="19" t="s">
        <v>134</v>
      </c>
      <c r="D213" s="21">
        <v>380000</v>
      </c>
      <c r="E213" s="21">
        <v>380000</v>
      </c>
      <c r="F213" s="21">
        <v>179046</v>
      </c>
      <c r="G213" s="85">
        <v>350000</v>
      </c>
      <c r="H213" s="75"/>
      <c r="J213" s="41"/>
      <c r="K213" s="41"/>
    </row>
    <row r="214" spans="1:11" x14ac:dyDescent="0.25">
      <c r="A214" s="18"/>
      <c r="B214" s="18" t="s">
        <v>124</v>
      </c>
      <c r="C214" s="19" t="s">
        <v>125</v>
      </c>
      <c r="D214" s="21">
        <v>50000</v>
      </c>
      <c r="E214" s="21">
        <v>50000</v>
      </c>
      <c r="F214" s="21">
        <v>26698</v>
      </c>
      <c r="G214" s="85">
        <v>50000</v>
      </c>
      <c r="H214" s="75" t="s">
        <v>364</v>
      </c>
      <c r="J214" s="41"/>
      <c r="K214" s="41"/>
    </row>
    <row r="215" spans="1:11" x14ac:dyDescent="0.25">
      <c r="A215" s="18"/>
      <c r="B215" s="18" t="s">
        <v>168</v>
      </c>
      <c r="C215" s="19" t="s">
        <v>169</v>
      </c>
      <c r="D215" s="21">
        <v>5000</v>
      </c>
      <c r="E215" s="21">
        <v>5000</v>
      </c>
      <c r="F215" s="21">
        <v>0</v>
      </c>
      <c r="G215" s="85">
        <v>5000</v>
      </c>
      <c r="H215" s="75"/>
      <c r="J215" s="41"/>
      <c r="K215" s="41"/>
    </row>
    <row r="216" spans="1:11" x14ac:dyDescent="0.25">
      <c r="A216" s="18"/>
      <c r="B216" s="18" t="s">
        <v>229</v>
      </c>
      <c r="C216" s="19" t="s">
        <v>230</v>
      </c>
      <c r="D216" s="21">
        <v>5000</v>
      </c>
      <c r="E216" s="21">
        <v>5000</v>
      </c>
      <c r="F216" s="21">
        <v>1000</v>
      </c>
      <c r="G216" s="85">
        <v>5000</v>
      </c>
      <c r="H216" s="75"/>
      <c r="J216" s="41"/>
      <c r="K216" s="41"/>
    </row>
    <row r="217" spans="1:11" x14ac:dyDescent="0.25">
      <c r="A217" s="18"/>
      <c r="B217" s="18" t="s">
        <v>126</v>
      </c>
      <c r="C217" s="19" t="s">
        <v>127</v>
      </c>
      <c r="D217" s="21">
        <v>300000</v>
      </c>
      <c r="E217" s="21">
        <v>300000</v>
      </c>
      <c r="F217" s="21">
        <v>94502.81</v>
      </c>
      <c r="G217" s="85">
        <v>300000</v>
      </c>
      <c r="H217" s="75" t="s">
        <v>365</v>
      </c>
      <c r="J217" s="41"/>
      <c r="K217" s="41"/>
    </row>
    <row r="218" spans="1:11" x14ac:dyDescent="0.25">
      <c r="A218" s="13" t="s">
        <v>231</v>
      </c>
      <c r="B218" s="13" t="s">
        <v>4</v>
      </c>
      <c r="C218" s="14" t="s">
        <v>232</v>
      </c>
      <c r="D218" s="16">
        <v>54000</v>
      </c>
      <c r="E218" s="16">
        <v>54000</v>
      </c>
      <c r="F218" s="16">
        <v>53228</v>
      </c>
      <c r="G218" s="88" t="s">
        <v>325</v>
      </c>
      <c r="H218" s="74"/>
      <c r="J218" s="41"/>
      <c r="K218" s="41"/>
    </row>
    <row r="219" spans="1:11" x14ac:dyDescent="0.25">
      <c r="A219" s="18"/>
      <c r="B219" s="18" t="s">
        <v>191</v>
      </c>
      <c r="C219" s="19" t="s">
        <v>192</v>
      </c>
      <c r="D219" s="21">
        <v>54000</v>
      </c>
      <c r="E219" s="21">
        <v>54000</v>
      </c>
      <c r="F219" s="21">
        <v>53228</v>
      </c>
      <c r="G219" s="85" t="s">
        <v>325</v>
      </c>
      <c r="H219" s="75"/>
      <c r="J219" s="41"/>
      <c r="K219" s="41"/>
    </row>
    <row r="220" spans="1:11" x14ac:dyDescent="0.25">
      <c r="A220" s="13" t="s">
        <v>106</v>
      </c>
      <c r="B220" s="13" t="s">
        <v>4</v>
      </c>
      <c r="C220" s="14" t="s">
        <v>107</v>
      </c>
      <c r="D220" s="16">
        <v>5566000</v>
      </c>
      <c r="E220" s="16">
        <v>2790712.35</v>
      </c>
      <c r="F220" s="16">
        <v>1408878.24</v>
      </c>
      <c r="G220" s="88">
        <f>SUM(G221:G232)</f>
        <v>1135000</v>
      </c>
      <c r="H220" s="74"/>
      <c r="J220" s="41"/>
      <c r="K220" s="41"/>
    </row>
    <row r="221" spans="1:11" x14ac:dyDescent="0.25">
      <c r="A221" s="18"/>
      <c r="B221" s="18" t="s">
        <v>217</v>
      </c>
      <c r="C221" s="19" t="s">
        <v>218</v>
      </c>
      <c r="D221" s="21">
        <v>90000</v>
      </c>
      <c r="E221" s="21">
        <v>90000</v>
      </c>
      <c r="F221" s="21">
        <v>23523</v>
      </c>
      <c r="G221" s="85">
        <v>100000</v>
      </c>
      <c r="H221" s="75" t="s">
        <v>413</v>
      </c>
      <c r="J221" s="41"/>
      <c r="K221" s="41"/>
    </row>
    <row r="222" spans="1:11" ht="26.25" x14ac:dyDescent="0.25">
      <c r="A222" s="18"/>
      <c r="B222" s="18" t="s">
        <v>158</v>
      </c>
      <c r="C222" s="19" t="s">
        <v>159</v>
      </c>
      <c r="D222" s="21">
        <v>80000</v>
      </c>
      <c r="E222" s="21">
        <v>320000</v>
      </c>
      <c r="F222" s="21">
        <v>228144.84</v>
      </c>
      <c r="G222" s="85">
        <v>100000</v>
      </c>
      <c r="H222" s="101" t="s">
        <v>419</v>
      </c>
      <c r="J222" s="41"/>
      <c r="K222" s="41"/>
    </row>
    <row r="223" spans="1:11" ht="26.25" x14ac:dyDescent="0.25">
      <c r="A223" s="18"/>
      <c r="B223" s="18" t="s">
        <v>131</v>
      </c>
      <c r="C223" s="19" t="s">
        <v>132</v>
      </c>
      <c r="D223" s="21">
        <v>100000</v>
      </c>
      <c r="E223" s="21">
        <v>100000</v>
      </c>
      <c r="F223" s="21">
        <v>59013.06</v>
      </c>
      <c r="G223" s="85">
        <v>100000</v>
      </c>
      <c r="H223" s="101" t="s">
        <v>414</v>
      </c>
      <c r="J223" s="41"/>
      <c r="K223" s="41"/>
    </row>
    <row r="224" spans="1:11" x14ac:dyDescent="0.25">
      <c r="A224" s="18"/>
      <c r="B224" s="18" t="s">
        <v>219</v>
      </c>
      <c r="C224" s="19" t="s">
        <v>220</v>
      </c>
      <c r="D224" s="21">
        <v>110000</v>
      </c>
      <c r="E224" s="21">
        <v>110000</v>
      </c>
      <c r="F224" s="21">
        <v>55566.89</v>
      </c>
      <c r="G224" s="85">
        <v>90000</v>
      </c>
      <c r="H224" s="75"/>
      <c r="J224" s="41"/>
      <c r="K224" s="41"/>
    </row>
    <row r="225" spans="1:11" x14ac:dyDescent="0.25">
      <c r="A225" s="18"/>
      <c r="B225" s="18" t="s">
        <v>227</v>
      </c>
      <c r="C225" s="19" t="s">
        <v>228</v>
      </c>
      <c r="D225" s="21">
        <v>25000</v>
      </c>
      <c r="E225" s="21">
        <v>25000</v>
      </c>
      <c r="F225" s="21">
        <v>0</v>
      </c>
      <c r="G225" s="85">
        <v>25000</v>
      </c>
      <c r="H225" s="75" t="s">
        <v>412</v>
      </c>
      <c r="J225" s="41"/>
      <c r="K225" s="41"/>
    </row>
    <row r="226" spans="1:11" x14ac:dyDescent="0.25">
      <c r="A226" s="18"/>
      <c r="B226" s="92">
        <v>5164</v>
      </c>
      <c r="C226" s="19" t="s">
        <v>138</v>
      </c>
      <c r="D226" s="21"/>
      <c r="E226" s="21"/>
      <c r="F226" s="21"/>
      <c r="G226" s="85">
        <v>300000</v>
      </c>
      <c r="H226" s="104" t="s">
        <v>415</v>
      </c>
      <c r="J226" s="41"/>
      <c r="K226" s="41"/>
    </row>
    <row r="227" spans="1:11" x14ac:dyDescent="0.25">
      <c r="A227" s="18"/>
      <c r="B227" s="18" t="s">
        <v>166</v>
      </c>
      <c r="C227" s="19" t="s">
        <v>167</v>
      </c>
      <c r="D227" s="21">
        <v>50000</v>
      </c>
      <c r="E227" s="21">
        <v>50000</v>
      </c>
      <c r="F227" s="21">
        <v>14252</v>
      </c>
      <c r="G227" s="85">
        <v>50000</v>
      </c>
      <c r="H227" s="5" t="s">
        <v>416</v>
      </c>
      <c r="J227" s="41"/>
      <c r="K227" s="41"/>
    </row>
    <row r="228" spans="1:11" x14ac:dyDescent="0.25">
      <c r="A228" s="18"/>
      <c r="B228" s="18" t="s">
        <v>133</v>
      </c>
      <c r="C228" s="19" t="s">
        <v>134</v>
      </c>
      <c r="D228" s="21">
        <v>50000</v>
      </c>
      <c r="E228" s="21">
        <v>85000</v>
      </c>
      <c r="F228" s="21">
        <v>36828.449999999997</v>
      </c>
      <c r="G228" s="85">
        <v>70000</v>
      </c>
      <c r="H228" s="5" t="s">
        <v>417</v>
      </c>
      <c r="J228" s="41"/>
      <c r="K228" s="41"/>
    </row>
    <row r="229" spans="1:11" ht="26.25" x14ac:dyDescent="0.25">
      <c r="A229" s="18"/>
      <c r="B229" s="18" t="s">
        <v>124</v>
      </c>
      <c r="C229" s="19" t="s">
        <v>125</v>
      </c>
      <c r="D229" s="21">
        <v>140000</v>
      </c>
      <c r="E229" s="21">
        <v>140000</v>
      </c>
      <c r="F229" s="21">
        <v>84050</v>
      </c>
      <c r="G229" s="111">
        <v>150000</v>
      </c>
      <c r="H229" s="101" t="s">
        <v>418</v>
      </c>
      <c r="J229" s="41"/>
      <c r="K229" s="41"/>
    </row>
    <row r="230" spans="1:11" x14ac:dyDescent="0.25">
      <c r="A230" s="18"/>
      <c r="B230" s="18" t="s">
        <v>126</v>
      </c>
      <c r="C230" s="19" t="s">
        <v>127</v>
      </c>
      <c r="D230" s="21">
        <v>3500000</v>
      </c>
      <c r="E230" s="21">
        <v>449712.35</v>
      </c>
      <c r="F230" s="21">
        <v>0</v>
      </c>
      <c r="G230" s="85" t="s">
        <v>325</v>
      </c>
      <c r="H230" s="75"/>
      <c r="J230" s="41"/>
      <c r="K230" s="41"/>
    </row>
    <row r="231" spans="1:11" ht="26.25" x14ac:dyDescent="0.25">
      <c r="A231" s="18"/>
      <c r="B231" s="18" t="s">
        <v>175</v>
      </c>
      <c r="C231" s="19" t="s">
        <v>176</v>
      </c>
      <c r="D231" s="21">
        <v>121000</v>
      </c>
      <c r="E231" s="21">
        <v>121000</v>
      </c>
      <c r="F231" s="21">
        <v>0</v>
      </c>
      <c r="G231" s="85">
        <v>150000</v>
      </c>
      <c r="H231" s="101" t="s">
        <v>420</v>
      </c>
      <c r="J231" s="41"/>
      <c r="K231" s="41"/>
    </row>
    <row r="232" spans="1:11" x14ac:dyDescent="0.25">
      <c r="A232" s="18"/>
      <c r="B232" s="18" t="s">
        <v>233</v>
      </c>
      <c r="C232" s="19" t="s">
        <v>234</v>
      </c>
      <c r="D232" s="21">
        <v>1300000</v>
      </c>
      <c r="E232" s="21">
        <v>1300000</v>
      </c>
      <c r="F232" s="21">
        <v>907500</v>
      </c>
      <c r="G232" s="132">
        <v>0</v>
      </c>
      <c r="H232" s="101"/>
      <c r="J232" s="41"/>
      <c r="K232" s="41"/>
    </row>
    <row r="233" spans="1:11" x14ac:dyDescent="0.25">
      <c r="A233" s="13" t="s">
        <v>235</v>
      </c>
      <c r="B233" s="13" t="s">
        <v>4</v>
      </c>
      <c r="C233" s="14" t="s">
        <v>236</v>
      </c>
      <c r="D233" s="16">
        <v>5468279</v>
      </c>
      <c r="E233" s="16">
        <v>5468279</v>
      </c>
      <c r="F233" s="16">
        <v>3483254</v>
      </c>
      <c r="G233" s="88">
        <f>SUM(G234:G240)</f>
        <v>6074000</v>
      </c>
      <c r="H233" s="74"/>
      <c r="J233" s="41"/>
      <c r="K233" s="41"/>
    </row>
    <row r="234" spans="1:11" x14ac:dyDescent="0.25">
      <c r="A234" s="18"/>
      <c r="B234" s="18" t="s">
        <v>148</v>
      </c>
      <c r="C234" s="19" t="s">
        <v>149</v>
      </c>
      <c r="D234" s="21">
        <v>400000</v>
      </c>
      <c r="E234" s="21">
        <v>400000</v>
      </c>
      <c r="F234" s="21">
        <v>132592</v>
      </c>
      <c r="G234" s="85">
        <v>400000</v>
      </c>
      <c r="H234" s="75"/>
      <c r="J234" s="41"/>
      <c r="K234" s="41"/>
    </row>
    <row r="235" spans="1:11" x14ac:dyDescent="0.25">
      <c r="A235" s="18"/>
      <c r="B235" s="18" t="s">
        <v>237</v>
      </c>
      <c r="C235" s="19" t="s">
        <v>238</v>
      </c>
      <c r="D235" s="21">
        <v>4013078</v>
      </c>
      <c r="E235" s="21">
        <v>4013078</v>
      </c>
      <c r="F235" s="21">
        <v>2681844</v>
      </c>
      <c r="G235" s="85">
        <v>4500000</v>
      </c>
      <c r="H235" s="75"/>
      <c r="J235" s="41"/>
      <c r="K235" s="41"/>
    </row>
    <row r="236" spans="1:11" ht="24.75" x14ac:dyDescent="0.25">
      <c r="A236" s="18"/>
      <c r="B236" s="18" t="s">
        <v>150</v>
      </c>
      <c r="C236" s="19" t="s">
        <v>151</v>
      </c>
      <c r="D236" s="21">
        <v>654024</v>
      </c>
      <c r="E236" s="21">
        <v>654024</v>
      </c>
      <c r="F236" s="21">
        <v>437361</v>
      </c>
      <c r="G236" s="85">
        <v>724000</v>
      </c>
      <c r="H236" s="75"/>
      <c r="J236" s="41"/>
      <c r="K236" s="41"/>
    </row>
    <row r="237" spans="1:11" x14ac:dyDescent="0.25">
      <c r="A237" s="18"/>
      <c r="B237" s="18" t="s">
        <v>152</v>
      </c>
      <c r="C237" s="19" t="s">
        <v>153</v>
      </c>
      <c r="D237" s="21">
        <v>361177</v>
      </c>
      <c r="E237" s="21">
        <v>361177</v>
      </c>
      <c r="F237" s="21">
        <v>220129</v>
      </c>
      <c r="G237" s="85">
        <f>G235*0.09</f>
        <v>405000</v>
      </c>
      <c r="H237" s="75"/>
      <c r="J237" s="41"/>
      <c r="K237" s="41"/>
    </row>
    <row r="238" spans="1:11" x14ac:dyDescent="0.25">
      <c r="A238" s="18"/>
      <c r="B238" s="18" t="s">
        <v>166</v>
      </c>
      <c r="C238" s="19" t="s">
        <v>167</v>
      </c>
      <c r="D238" s="21">
        <v>20000</v>
      </c>
      <c r="E238" s="21">
        <v>20000</v>
      </c>
      <c r="F238" s="21">
        <v>0</v>
      </c>
      <c r="G238" s="85">
        <v>20000</v>
      </c>
      <c r="H238" s="75"/>
      <c r="J238" s="41"/>
      <c r="K238" s="41"/>
    </row>
    <row r="239" spans="1:11" x14ac:dyDescent="0.25">
      <c r="A239" s="18"/>
      <c r="B239" s="18" t="s">
        <v>168</v>
      </c>
      <c r="C239" s="19" t="s">
        <v>169</v>
      </c>
      <c r="D239" s="21">
        <v>5000</v>
      </c>
      <c r="E239" s="21">
        <v>5000</v>
      </c>
      <c r="F239" s="21">
        <v>0</v>
      </c>
      <c r="G239" s="85">
        <v>5000</v>
      </c>
      <c r="H239" s="75"/>
      <c r="J239" s="41"/>
      <c r="K239" s="41"/>
    </row>
    <row r="240" spans="1:11" x14ac:dyDescent="0.25">
      <c r="A240" s="18"/>
      <c r="B240" s="18" t="s">
        <v>170</v>
      </c>
      <c r="C240" s="19" t="s">
        <v>171</v>
      </c>
      <c r="D240" s="21">
        <v>15000</v>
      </c>
      <c r="E240" s="21">
        <v>15000</v>
      </c>
      <c r="F240" s="21">
        <v>11328</v>
      </c>
      <c r="G240" s="85">
        <v>20000</v>
      </c>
      <c r="H240" s="75"/>
      <c r="J240" s="41"/>
      <c r="K240" s="41"/>
    </row>
    <row r="241" spans="1:11" x14ac:dyDescent="0.25">
      <c r="A241" s="13" t="s">
        <v>239</v>
      </c>
      <c r="B241" s="13" t="s">
        <v>4</v>
      </c>
      <c r="C241" s="14" t="s">
        <v>240</v>
      </c>
      <c r="D241" s="16">
        <v>0</v>
      </c>
      <c r="E241" s="16">
        <v>285200</v>
      </c>
      <c r="F241" s="16">
        <v>337976.05</v>
      </c>
      <c r="G241" s="84" t="s">
        <v>325</v>
      </c>
      <c r="H241" s="74"/>
      <c r="J241" s="41"/>
      <c r="K241" s="41"/>
    </row>
    <row r="242" spans="1:11" x14ac:dyDescent="0.25">
      <c r="A242" s="18"/>
      <c r="B242" s="18" t="s">
        <v>148</v>
      </c>
      <c r="C242" s="19" t="s">
        <v>149</v>
      </c>
      <c r="D242" s="21">
        <v>0</v>
      </c>
      <c r="E242" s="21">
        <v>0</v>
      </c>
      <c r="F242" s="21">
        <v>121661</v>
      </c>
      <c r="G242" s="85" t="s">
        <v>325</v>
      </c>
      <c r="H242" s="75"/>
      <c r="J242" s="41"/>
      <c r="K242" s="41"/>
    </row>
    <row r="243" spans="1:11" x14ac:dyDescent="0.25">
      <c r="A243" s="18"/>
      <c r="B243" s="18" t="s">
        <v>131</v>
      </c>
      <c r="C243" s="19" t="s">
        <v>132</v>
      </c>
      <c r="D243" s="21">
        <v>0</v>
      </c>
      <c r="E243" s="21">
        <v>0</v>
      </c>
      <c r="F243" s="21">
        <v>1240.21</v>
      </c>
      <c r="G243" s="85" t="s">
        <v>325</v>
      </c>
      <c r="H243" s="75"/>
      <c r="J243" s="41"/>
      <c r="K243" s="41"/>
    </row>
    <row r="244" spans="1:11" x14ac:dyDescent="0.25">
      <c r="A244" s="18"/>
      <c r="B244" s="18" t="s">
        <v>164</v>
      </c>
      <c r="C244" s="19" t="s">
        <v>165</v>
      </c>
      <c r="D244" s="21">
        <v>0</v>
      </c>
      <c r="E244" s="21">
        <v>0</v>
      </c>
      <c r="F244" s="21">
        <v>58110</v>
      </c>
      <c r="G244" s="85" t="s">
        <v>325</v>
      </c>
      <c r="H244" s="75"/>
      <c r="J244" s="41"/>
      <c r="K244" s="41"/>
    </row>
    <row r="245" spans="1:11" x14ac:dyDescent="0.25">
      <c r="A245" s="18"/>
      <c r="B245" s="18" t="s">
        <v>133</v>
      </c>
      <c r="C245" s="19" t="s">
        <v>134</v>
      </c>
      <c r="D245" s="21">
        <v>0</v>
      </c>
      <c r="E245" s="21">
        <v>285200</v>
      </c>
      <c r="F245" s="21">
        <v>138900</v>
      </c>
      <c r="G245" s="85" t="s">
        <v>325</v>
      </c>
      <c r="H245" s="75"/>
      <c r="J245" s="41"/>
      <c r="K245" s="41"/>
    </row>
    <row r="246" spans="1:11" x14ac:dyDescent="0.25">
      <c r="A246" s="18"/>
      <c r="B246" s="18" t="s">
        <v>170</v>
      </c>
      <c r="C246" s="19" t="s">
        <v>171</v>
      </c>
      <c r="D246" s="21">
        <v>0</v>
      </c>
      <c r="E246" s="21">
        <v>0</v>
      </c>
      <c r="F246" s="21">
        <v>18064.84</v>
      </c>
      <c r="G246" s="85" t="s">
        <v>325</v>
      </c>
      <c r="H246" s="75"/>
      <c r="J246" s="41"/>
      <c r="K246" s="41"/>
    </row>
    <row r="247" spans="1:11" x14ac:dyDescent="0.25">
      <c r="A247" s="13" t="s">
        <v>110</v>
      </c>
      <c r="B247" s="13" t="s">
        <v>4</v>
      </c>
      <c r="C247" s="14" t="s">
        <v>111</v>
      </c>
      <c r="D247" s="16">
        <v>48691033</v>
      </c>
      <c r="E247" s="16">
        <v>55041088.140000001</v>
      </c>
      <c r="F247" s="16">
        <v>22108616.93</v>
      </c>
      <c r="G247" s="88">
        <f>SUM(G248:G290)</f>
        <v>57618147.890000001</v>
      </c>
      <c r="H247" s="74"/>
      <c r="J247" s="41"/>
      <c r="K247" s="41"/>
    </row>
    <row r="248" spans="1:11" ht="24.75" x14ac:dyDescent="0.25">
      <c r="A248" s="18"/>
      <c r="B248" s="18" t="s">
        <v>146</v>
      </c>
      <c r="C248" s="19" t="s">
        <v>147</v>
      </c>
      <c r="D248" s="21">
        <v>17100000</v>
      </c>
      <c r="E248" s="21">
        <v>17100000</v>
      </c>
      <c r="F248" s="21">
        <v>10371975</v>
      </c>
      <c r="G248" s="85">
        <v>17600000</v>
      </c>
      <c r="H248" s="75"/>
      <c r="J248" s="41"/>
      <c r="K248" s="41"/>
    </row>
    <row r="249" spans="1:11" x14ac:dyDescent="0.25">
      <c r="A249" s="18"/>
      <c r="B249" s="18" t="s">
        <v>148</v>
      </c>
      <c r="C249" s="19" t="s">
        <v>149</v>
      </c>
      <c r="D249" s="21">
        <v>950000</v>
      </c>
      <c r="E249" s="21">
        <v>2124733</v>
      </c>
      <c r="F249" s="21">
        <v>1222577</v>
      </c>
      <c r="G249" s="85">
        <f>700000+660000</f>
        <v>1360000</v>
      </c>
      <c r="H249" s="75" t="s">
        <v>426</v>
      </c>
      <c r="J249" s="41"/>
      <c r="K249" s="41"/>
    </row>
    <row r="250" spans="1:11" ht="24.75" x14ac:dyDescent="0.25">
      <c r="A250" s="18"/>
      <c r="B250" s="18" t="s">
        <v>150</v>
      </c>
      <c r="C250" s="19" t="s">
        <v>151</v>
      </c>
      <c r="D250" s="21">
        <v>4241000</v>
      </c>
      <c r="E250" s="21">
        <v>4241000</v>
      </c>
      <c r="F250" s="21">
        <v>2682047</v>
      </c>
      <c r="G250" s="85">
        <f>G248*0.248</f>
        <v>4364800</v>
      </c>
      <c r="H250" s="75"/>
      <c r="J250" s="41"/>
      <c r="K250" s="41"/>
    </row>
    <row r="251" spans="1:11" x14ac:dyDescent="0.25">
      <c r="A251" s="18"/>
      <c r="B251" s="18" t="s">
        <v>152</v>
      </c>
      <c r="C251" s="19" t="s">
        <v>153</v>
      </c>
      <c r="D251" s="21">
        <v>1539000</v>
      </c>
      <c r="E251" s="21">
        <v>1539000</v>
      </c>
      <c r="F251" s="21">
        <v>974680</v>
      </c>
      <c r="G251" s="85">
        <f>G248*0.09</f>
        <v>1584000</v>
      </c>
      <c r="H251" s="75"/>
      <c r="J251" s="41"/>
      <c r="K251" s="41"/>
    </row>
    <row r="252" spans="1:11" ht="36.75" x14ac:dyDescent="0.25">
      <c r="A252" s="18"/>
      <c r="B252" s="18" t="s">
        <v>241</v>
      </c>
      <c r="C252" s="19" t="s">
        <v>242</v>
      </c>
      <c r="D252" s="21">
        <v>140000</v>
      </c>
      <c r="E252" s="21">
        <v>140000</v>
      </c>
      <c r="F252" s="21">
        <v>88062</v>
      </c>
      <c r="G252" s="85">
        <v>190000</v>
      </c>
      <c r="H252" s="75"/>
      <c r="J252" s="41"/>
      <c r="K252" s="41"/>
    </row>
    <row r="253" spans="1:11" x14ac:dyDescent="0.25">
      <c r="A253" s="18"/>
      <c r="B253" s="18" t="s">
        <v>217</v>
      </c>
      <c r="C253" s="19" t="s">
        <v>218</v>
      </c>
      <c r="D253" s="21">
        <v>5000</v>
      </c>
      <c r="E253" s="21">
        <v>5000</v>
      </c>
      <c r="F253" s="21">
        <v>695</v>
      </c>
      <c r="G253" s="85">
        <v>5000</v>
      </c>
      <c r="H253" s="75" t="s">
        <v>385</v>
      </c>
      <c r="J253" s="41"/>
      <c r="K253" s="41"/>
    </row>
    <row r="254" spans="1:11" x14ac:dyDescent="0.25">
      <c r="A254" s="18"/>
      <c r="B254" s="18" t="s">
        <v>154</v>
      </c>
      <c r="C254" s="19" t="s">
        <v>155</v>
      </c>
      <c r="D254" s="21">
        <v>3000</v>
      </c>
      <c r="E254" s="21">
        <v>3000</v>
      </c>
      <c r="F254" s="21">
        <v>2734.3</v>
      </c>
      <c r="G254" s="85">
        <v>5000</v>
      </c>
      <c r="H254" s="75" t="s">
        <v>400</v>
      </c>
      <c r="J254" s="41"/>
      <c r="K254" s="41"/>
    </row>
    <row r="255" spans="1:11" x14ac:dyDescent="0.25">
      <c r="A255" s="18"/>
      <c r="B255" s="18" t="s">
        <v>156</v>
      </c>
      <c r="C255" s="19" t="s">
        <v>157</v>
      </c>
      <c r="D255" s="21">
        <v>10000</v>
      </c>
      <c r="E255" s="21">
        <v>10000</v>
      </c>
      <c r="F255" s="21">
        <v>6960</v>
      </c>
      <c r="G255" s="85">
        <v>10000</v>
      </c>
      <c r="H255" s="75"/>
      <c r="J255" s="41"/>
      <c r="K255" s="41"/>
    </row>
    <row r="256" spans="1:11" ht="60" x14ac:dyDescent="0.25">
      <c r="A256" s="18"/>
      <c r="B256" s="18" t="s">
        <v>158</v>
      </c>
      <c r="C256" s="19" t="s">
        <v>159</v>
      </c>
      <c r="D256" s="21">
        <v>300000</v>
      </c>
      <c r="E256" s="21">
        <v>300000</v>
      </c>
      <c r="F256" s="21">
        <v>347332.8</v>
      </c>
      <c r="G256" s="85">
        <f>66000+5000+120000+20000+10000+15000+20000+20000+20000+80000+40000+15000</f>
        <v>431000</v>
      </c>
      <c r="H256" s="91" t="s">
        <v>388</v>
      </c>
      <c r="J256" s="41"/>
      <c r="K256" s="41"/>
    </row>
    <row r="257" spans="1:11" x14ac:dyDescent="0.25">
      <c r="A257" s="18"/>
      <c r="B257" s="18" t="s">
        <v>243</v>
      </c>
      <c r="C257" s="19" t="s">
        <v>244</v>
      </c>
      <c r="D257" s="21">
        <v>160000</v>
      </c>
      <c r="E257" s="21">
        <v>160000</v>
      </c>
      <c r="F257" s="21">
        <v>61368</v>
      </c>
      <c r="G257" s="85">
        <f>50000+50000</f>
        <v>100000</v>
      </c>
      <c r="H257" s="75" t="s">
        <v>387</v>
      </c>
      <c r="J257" s="41"/>
      <c r="K257" s="41"/>
    </row>
    <row r="258" spans="1:11" x14ac:dyDescent="0.25">
      <c r="A258" s="18"/>
      <c r="B258" s="18" t="s">
        <v>131</v>
      </c>
      <c r="C258" s="19" t="s">
        <v>132</v>
      </c>
      <c r="D258" s="21">
        <v>613000</v>
      </c>
      <c r="E258" s="21">
        <v>624000</v>
      </c>
      <c r="F258" s="21">
        <v>391262.76</v>
      </c>
      <c r="G258" s="85">
        <v>500000</v>
      </c>
      <c r="H258" s="91" t="s">
        <v>467</v>
      </c>
      <c r="J258" s="41"/>
      <c r="K258" s="41"/>
    </row>
    <row r="259" spans="1:11" ht="24.75" x14ac:dyDescent="0.25">
      <c r="A259" s="18"/>
      <c r="B259" s="18" t="s">
        <v>160</v>
      </c>
      <c r="C259" s="19" t="s">
        <v>161</v>
      </c>
      <c r="D259" s="21">
        <v>100000</v>
      </c>
      <c r="E259" s="21">
        <v>100000</v>
      </c>
      <c r="F259" s="21">
        <v>13710</v>
      </c>
      <c r="G259" s="85">
        <v>60000</v>
      </c>
      <c r="H259" s="75"/>
      <c r="J259" s="41"/>
      <c r="K259" s="41"/>
    </row>
    <row r="260" spans="1:11" x14ac:dyDescent="0.25">
      <c r="A260" s="18"/>
      <c r="B260" s="18" t="s">
        <v>162</v>
      </c>
      <c r="C260" s="19" t="s">
        <v>163</v>
      </c>
      <c r="D260" s="21">
        <v>200000</v>
      </c>
      <c r="E260" s="21">
        <v>200000</v>
      </c>
      <c r="F260" s="21">
        <v>169973.27</v>
      </c>
      <c r="G260" s="85">
        <v>200000</v>
      </c>
      <c r="H260" s="75"/>
      <c r="J260" s="41"/>
      <c r="K260" s="41"/>
    </row>
    <row r="261" spans="1:11" x14ac:dyDescent="0.25">
      <c r="A261" s="18"/>
      <c r="B261" s="18" t="s">
        <v>122</v>
      </c>
      <c r="C261" s="19" t="s">
        <v>123</v>
      </c>
      <c r="D261" s="21">
        <v>330000</v>
      </c>
      <c r="E261" s="21">
        <v>330000</v>
      </c>
      <c r="F261" s="21">
        <v>94644</v>
      </c>
      <c r="G261" s="85">
        <v>200000</v>
      </c>
      <c r="H261" s="75"/>
      <c r="J261" s="41"/>
      <c r="K261" s="41"/>
    </row>
    <row r="262" spans="1:11" x14ac:dyDescent="0.25">
      <c r="A262" s="18"/>
      <c r="B262" s="18" t="s">
        <v>219</v>
      </c>
      <c r="C262" s="19" t="s">
        <v>220</v>
      </c>
      <c r="D262" s="21">
        <v>100000</v>
      </c>
      <c r="E262" s="21">
        <v>100000</v>
      </c>
      <c r="F262" s="21">
        <v>62154.48</v>
      </c>
      <c r="G262" s="85">
        <v>100000</v>
      </c>
      <c r="H262" s="75"/>
      <c r="J262" s="41"/>
      <c r="K262" s="41"/>
    </row>
    <row r="263" spans="1:11" x14ac:dyDescent="0.25">
      <c r="A263" s="18"/>
      <c r="B263" s="18" t="s">
        <v>164</v>
      </c>
      <c r="C263" s="19" t="s">
        <v>165</v>
      </c>
      <c r="D263" s="21">
        <v>190000</v>
      </c>
      <c r="E263" s="21">
        <v>190000</v>
      </c>
      <c r="F263" s="21">
        <v>143237.79999999999</v>
      </c>
      <c r="G263" s="85">
        <v>210000</v>
      </c>
      <c r="H263" s="75"/>
      <c r="J263" s="41"/>
      <c r="K263" s="41"/>
    </row>
    <row r="264" spans="1:11" x14ac:dyDescent="0.25">
      <c r="A264" s="18"/>
      <c r="B264" s="18" t="s">
        <v>225</v>
      </c>
      <c r="C264" s="19" t="s">
        <v>226</v>
      </c>
      <c r="D264" s="21">
        <v>200000</v>
      </c>
      <c r="E264" s="21">
        <v>200000</v>
      </c>
      <c r="F264" s="21">
        <v>164662.23000000001</v>
      </c>
      <c r="G264" s="85">
        <v>220000</v>
      </c>
      <c r="H264" s="75"/>
      <c r="J264" s="41"/>
      <c r="K264" s="41"/>
    </row>
    <row r="265" spans="1:11" x14ac:dyDescent="0.25">
      <c r="A265" s="18"/>
      <c r="B265" s="18" t="s">
        <v>227</v>
      </c>
      <c r="C265" s="19" t="s">
        <v>228</v>
      </c>
      <c r="D265" s="21">
        <v>500000</v>
      </c>
      <c r="E265" s="21">
        <v>500000</v>
      </c>
      <c r="F265" s="21">
        <v>500634</v>
      </c>
      <c r="G265" s="85">
        <v>560000</v>
      </c>
      <c r="H265" s="75" t="s">
        <v>412</v>
      </c>
      <c r="J265" s="41"/>
      <c r="K265" s="41"/>
    </row>
    <row r="266" spans="1:11" x14ac:dyDescent="0.25">
      <c r="A266" s="18"/>
      <c r="B266" s="18" t="s">
        <v>137</v>
      </c>
      <c r="C266" s="19" t="s">
        <v>138</v>
      </c>
      <c r="D266" s="21">
        <v>85000</v>
      </c>
      <c r="E266" s="21">
        <v>310720</v>
      </c>
      <c r="F266" s="21">
        <v>126800.54</v>
      </c>
      <c r="G266" s="85">
        <f>90000+110000</f>
        <v>200000</v>
      </c>
      <c r="H266" s="75" t="s">
        <v>427</v>
      </c>
      <c r="J266" s="41"/>
      <c r="K266" s="41"/>
    </row>
    <row r="267" spans="1:11" ht="24.75" x14ac:dyDescent="0.25">
      <c r="A267" s="18"/>
      <c r="B267" s="18" t="s">
        <v>203</v>
      </c>
      <c r="C267" s="19" t="s">
        <v>204</v>
      </c>
      <c r="D267" s="21">
        <v>110000</v>
      </c>
      <c r="E267" s="21">
        <v>110000</v>
      </c>
      <c r="F267" s="21">
        <v>68970</v>
      </c>
      <c r="G267" s="85">
        <v>590000</v>
      </c>
      <c r="H267" s="89" t="s">
        <v>480</v>
      </c>
      <c r="J267" s="41"/>
      <c r="K267" s="41"/>
    </row>
    <row r="268" spans="1:11" ht="24.75" x14ac:dyDescent="0.25">
      <c r="A268" s="18"/>
      <c r="B268" s="18" t="s">
        <v>166</v>
      </c>
      <c r="C268" s="19" t="s">
        <v>167</v>
      </c>
      <c r="D268" s="21">
        <v>120000</v>
      </c>
      <c r="E268" s="21">
        <v>120000</v>
      </c>
      <c r="F268" s="21">
        <v>128527.1</v>
      </c>
      <c r="G268" s="85">
        <v>200000</v>
      </c>
      <c r="H268" s="89" t="s">
        <v>425</v>
      </c>
      <c r="J268" s="41"/>
      <c r="K268" s="41"/>
    </row>
    <row r="269" spans="1:11" ht="24.75" x14ac:dyDescent="0.25">
      <c r="A269" s="18"/>
      <c r="B269" s="18" t="s">
        <v>133</v>
      </c>
      <c r="C269" s="19" t="s">
        <v>134</v>
      </c>
      <c r="D269" s="21">
        <v>3100000</v>
      </c>
      <c r="E269" s="21">
        <v>3720100</v>
      </c>
      <c r="F269" s="21">
        <v>2395641.61</v>
      </c>
      <c r="G269" s="85">
        <v>3400000</v>
      </c>
      <c r="H269" s="89" t="s">
        <v>458</v>
      </c>
      <c r="J269" s="41"/>
      <c r="K269" s="41"/>
    </row>
    <row r="270" spans="1:11" x14ac:dyDescent="0.25">
      <c r="A270" s="18"/>
      <c r="B270" s="18" t="s">
        <v>124</v>
      </c>
      <c r="C270" s="19" t="s">
        <v>125</v>
      </c>
      <c r="D270" s="21">
        <v>60000</v>
      </c>
      <c r="E270" s="21">
        <v>945902.6</v>
      </c>
      <c r="F270" s="21">
        <v>935518.61</v>
      </c>
      <c r="G270" s="85">
        <v>30000</v>
      </c>
      <c r="H270" s="75" t="s">
        <v>386</v>
      </c>
      <c r="J270" s="41"/>
      <c r="K270" s="41"/>
    </row>
    <row r="271" spans="1:11" ht="36.75" x14ac:dyDescent="0.25">
      <c r="A271" s="18"/>
      <c r="B271" s="18" t="s">
        <v>245</v>
      </c>
      <c r="C271" s="19" t="s">
        <v>246</v>
      </c>
      <c r="D271" s="21">
        <v>100000</v>
      </c>
      <c r="E271" s="21">
        <v>100000</v>
      </c>
      <c r="F271" s="21">
        <v>0</v>
      </c>
      <c r="G271" s="85">
        <v>500000</v>
      </c>
      <c r="H271" s="89" t="s">
        <v>481</v>
      </c>
      <c r="J271" s="41"/>
      <c r="K271" s="41"/>
    </row>
    <row r="272" spans="1:11" x14ac:dyDescent="0.25">
      <c r="A272" s="18"/>
      <c r="B272" s="18" t="s">
        <v>168</v>
      </c>
      <c r="C272" s="19" t="s">
        <v>169</v>
      </c>
      <c r="D272" s="21">
        <v>25000</v>
      </c>
      <c r="E272" s="21">
        <v>25000</v>
      </c>
      <c r="F272" s="21">
        <v>15522</v>
      </c>
      <c r="G272" s="85">
        <v>25000</v>
      </c>
      <c r="H272" s="75"/>
      <c r="J272" s="41"/>
      <c r="K272" s="41"/>
    </row>
    <row r="273" spans="1:11" x14ac:dyDescent="0.25">
      <c r="A273" s="18"/>
      <c r="B273" s="18" t="s">
        <v>170</v>
      </c>
      <c r="C273" s="19" t="s">
        <v>171</v>
      </c>
      <c r="D273" s="21">
        <v>100000</v>
      </c>
      <c r="E273" s="21">
        <v>100000</v>
      </c>
      <c r="F273" s="21">
        <v>61739.69</v>
      </c>
      <c r="G273" s="85">
        <v>100000</v>
      </c>
      <c r="H273" s="75"/>
      <c r="J273" s="41"/>
      <c r="K273" s="41"/>
    </row>
    <row r="274" spans="1:11" x14ac:dyDescent="0.25">
      <c r="A274" s="18"/>
      <c r="B274" s="18" t="s">
        <v>247</v>
      </c>
      <c r="C274" s="19" t="s">
        <v>248</v>
      </c>
      <c r="D274" s="21">
        <v>175000</v>
      </c>
      <c r="E274" s="21">
        <v>175000</v>
      </c>
      <c r="F274" s="21">
        <v>104281.27</v>
      </c>
      <c r="G274" s="85">
        <v>150000</v>
      </c>
      <c r="H274" s="75"/>
      <c r="J274" s="41"/>
      <c r="K274" s="41"/>
    </row>
    <row r="275" spans="1:11" x14ac:dyDescent="0.25">
      <c r="A275" s="18"/>
      <c r="B275" s="18" t="s">
        <v>249</v>
      </c>
      <c r="C275" s="19" t="s">
        <v>250</v>
      </c>
      <c r="D275" s="21">
        <v>60000</v>
      </c>
      <c r="E275" s="21">
        <v>60000</v>
      </c>
      <c r="F275" s="21">
        <v>52899.64</v>
      </c>
      <c r="G275" s="85">
        <v>70000</v>
      </c>
      <c r="H275" s="75"/>
      <c r="J275" s="41"/>
      <c r="K275" s="41"/>
    </row>
    <row r="276" spans="1:11" x14ac:dyDescent="0.25">
      <c r="A276" s="18"/>
      <c r="B276" s="18" t="s">
        <v>181</v>
      </c>
      <c r="C276" s="19" t="s">
        <v>182</v>
      </c>
      <c r="D276" s="21">
        <v>0</v>
      </c>
      <c r="E276" s="21">
        <v>0</v>
      </c>
      <c r="F276" s="21">
        <v>1296</v>
      </c>
      <c r="G276" s="85" t="s">
        <v>325</v>
      </c>
      <c r="H276" s="75"/>
      <c r="J276" s="41"/>
      <c r="K276" s="41"/>
    </row>
    <row r="277" spans="1:11" x14ac:dyDescent="0.25">
      <c r="A277" s="18"/>
      <c r="B277" s="18" t="s">
        <v>251</v>
      </c>
      <c r="C277" s="19" t="s">
        <v>252</v>
      </c>
      <c r="D277" s="21">
        <v>0</v>
      </c>
      <c r="E277" s="21">
        <v>0</v>
      </c>
      <c r="F277" s="21">
        <v>142768.79</v>
      </c>
      <c r="G277" s="85" t="s">
        <v>325</v>
      </c>
      <c r="H277" s="75"/>
      <c r="J277" s="41"/>
      <c r="K277" s="41"/>
    </row>
    <row r="278" spans="1:11" x14ac:dyDescent="0.25">
      <c r="A278" s="18"/>
      <c r="B278" s="18" t="s">
        <v>253</v>
      </c>
      <c r="C278" s="19" t="s">
        <v>254</v>
      </c>
      <c r="D278" s="21">
        <v>0</v>
      </c>
      <c r="E278" s="21">
        <v>20000</v>
      </c>
      <c r="F278" s="21">
        <v>0</v>
      </c>
      <c r="G278" s="85" t="s">
        <v>325</v>
      </c>
      <c r="H278" s="75"/>
      <c r="J278" s="41"/>
      <c r="K278" s="41"/>
    </row>
    <row r="279" spans="1:11" ht="24.75" x14ac:dyDescent="0.25">
      <c r="A279" s="18"/>
      <c r="B279" s="18" t="s">
        <v>179</v>
      </c>
      <c r="C279" s="19" t="s">
        <v>180</v>
      </c>
      <c r="D279" s="21">
        <v>95000</v>
      </c>
      <c r="E279" s="21">
        <v>95000</v>
      </c>
      <c r="F279" s="21">
        <v>20116</v>
      </c>
      <c r="G279" s="85">
        <v>105000</v>
      </c>
      <c r="H279" s="75"/>
      <c r="J279" s="41"/>
      <c r="K279" s="41"/>
    </row>
    <row r="280" spans="1:11" x14ac:dyDescent="0.25">
      <c r="A280" s="18"/>
      <c r="B280" s="18" t="s">
        <v>255</v>
      </c>
      <c r="C280" s="19" t="s">
        <v>256</v>
      </c>
      <c r="D280" s="21">
        <v>95000</v>
      </c>
      <c r="E280" s="21">
        <v>95000</v>
      </c>
      <c r="F280" s="21">
        <v>81160</v>
      </c>
      <c r="G280" s="85">
        <v>105000</v>
      </c>
      <c r="H280" s="75"/>
      <c r="J280" s="41"/>
      <c r="K280" s="41"/>
    </row>
    <row r="281" spans="1:11" x14ac:dyDescent="0.25">
      <c r="A281" s="18"/>
      <c r="B281" s="18" t="s">
        <v>229</v>
      </c>
      <c r="C281" s="19" t="s">
        <v>230</v>
      </c>
      <c r="D281" s="21">
        <v>20000</v>
      </c>
      <c r="E281" s="21">
        <v>70000</v>
      </c>
      <c r="F281" s="21">
        <v>66250</v>
      </c>
      <c r="G281" s="85">
        <v>30000</v>
      </c>
      <c r="H281" s="75"/>
      <c r="J281" s="41"/>
      <c r="K281" s="41"/>
    </row>
    <row r="282" spans="1:11" x14ac:dyDescent="0.25">
      <c r="A282" s="18"/>
      <c r="B282" s="18" t="s">
        <v>257</v>
      </c>
      <c r="C282" s="19" t="s">
        <v>258</v>
      </c>
      <c r="D282" s="21">
        <v>4500</v>
      </c>
      <c r="E282" s="21">
        <v>4500</v>
      </c>
      <c r="F282" s="21">
        <v>0</v>
      </c>
      <c r="G282" s="85">
        <v>8000</v>
      </c>
      <c r="H282" s="75"/>
      <c r="J282" s="41"/>
      <c r="K282" s="41"/>
    </row>
    <row r="283" spans="1:11" x14ac:dyDescent="0.25">
      <c r="A283" s="18"/>
      <c r="B283" s="18" t="s">
        <v>259</v>
      </c>
      <c r="C283" s="19" t="s">
        <v>260</v>
      </c>
      <c r="D283" s="21">
        <v>0</v>
      </c>
      <c r="E283" s="21">
        <v>0</v>
      </c>
      <c r="F283" s="21">
        <v>24823</v>
      </c>
      <c r="G283" s="85" t="s">
        <v>325</v>
      </c>
      <c r="H283" s="75"/>
      <c r="J283" s="41"/>
      <c r="K283" s="41"/>
    </row>
    <row r="284" spans="1:11" x14ac:dyDescent="0.25">
      <c r="A284" s="18"/>
      <c r="B284" s="18" t="s">
        <v>187</v>
      </c>
      <c r="C284" s="19" t="s">
        <v>188</v>
      </c>
      <c r="D284" s="21">
        <v>0</v>
      </c>
      <c r="E284" s="21">
        <v>31000</v>
      </c>
      <c r="F284" s="21">
        <v>31000</v>
      </c>
      <c r="G284" s="85" t="s">
        <v>325</v>
      </c>
      <c r="H284" s="75"/>
      <c r="J284" s="41"/>
      <c r="K284" s="41"/>
    </row>
    <row r="285" spans="1:11" ht="24.75" x14ac:dyDescent="0.25">
      <c r="A285" s="18"/>
      <c r="B285" s="18" t="s">
        <v>261</v>
      </c>
      <c r="C285" s="19" t="s">
        <v>262</v>
      </c>
      <c r="D285" s="21">
        <v>471000</v>
      </c>
      <c r="E285" s="21">
        <v>471000</v>
      </c>
      <c r="F285" s="21">
        <v>317045.03999999998</v>
      </c>
      <c r="G285" s="85">
        <f>(G248+G197+G180+G44+G123+2918136)*0.035-600000</f>
        <v>464284.76</v>
      </c>
      <c r="H285" s="89" t="s">
        <v>457</v>
      </c>
      <c r="J285" s="41"/>
      <c r="K285" s="41"/>
    </row>
    <row r="286" spans="1:11" x14ac:dyDescent="0.25">
      <c r="A286" s="18"/>
      <c r="B286" s="18" t="s">
        <v>263</v>
      </c>
      <c r="C286" s="19" t="s">
        <v>264</v>
      </c>
      <c r="D286" s="21">
        <v>17289533</v>
      </c>
      <c r="E286" s="21">
        <v>20283132.539999999</v>
      </c>
      <c r="F286" s="21">
        <v>0</v>
      </c>
      <c r="G286" s="85">
        <f>'IV. Rezerva'!D30</f>
        <v>21318063.129999999</v>
      </c>
      <c r="H286" s="75"/>
      <c r="J286" s="41"/>
      <c r="K286" s="41"/>
    </row>
    <row r="287" spans="1:11" ht="24" x14ac:dyDescent="0.25">
      <c r="A287" s="18"/>
      <c r="B287" s="18" t="s">
        <v>265</v>
      </c>
      <c r="C287" s="19" t="s">
        <v>266</v>
      </c>
      <c r="D287" s="21">
        <v>100000</v>
      </c>
      <c r="E287" s="21">
        <v>100000</v>
      </c>
      <c r="F287" s="21">
        <v>98276</v>
      </c>
      <c r="G287" s="85">
        <f>50000+38000+45000+90000</f>
        <v>223000</v>
      </c>
      <c r="H287" s="91" t="s">
        <v>389</v>
      </c>
      <c r="J287" s="41"/>
      <c r="K287" s="41"/>
    </row>
    <row r="288" spans="1:11" x14ac:dyDescent="0.25">
      <c r="A288" s="18"/>
      <c r="B288" s="18" t="s">
        <v>201</v>
      </c>
      <c r="C288" s="19" t="s">
        <v>202</v>
      </c>
      <c r="D288" s="21">
        <v>0</v>
      </c>
      <c r="E288" s="21">
        <v>200000</v>
      </c>
      <c r="F288" s="21">
        <v>0</v>
      </c>
      <c r="G288" s="85" t="s">
        <v>325</v>
      </c>
      <c r="H288" s="75"/>
      <c r="J288" s="41"/>
      <c r="K288" s="41"/>
    </row>
    <row r="289" spans="1:11" x14ac:dyDescent="0.25">
      <c r="A289" s="18"/>
      <c r="B289" s="18" t="s">
        <v>126</v>
      </c>
      <c r="C289" s="19" t="s">
        <v>127</v>
      </c>
      <c r="D289" s="21">
        <v>0</v>
      </c>
      <c r="E289" s="21">
        <v>138000</v>
      </c>
      <c r="F289" s="21">
        <v>137756</v>
      </c>
      <c r="G289" s="85" t="s">
        <v>325</v>
      </c>
      <c r="H289" s="75"/>
      <c r="J289" s="41"/>
      <c r="K289" s="41"/>
    </row>
    <row r="290" spans="1:11" x14ac:dyDescent="0.25">
      <c r="A290" s="18"/>
      <c r="B290" s="92">
        <v>6123</v>
      </c>
      <c r="C290" s="19" t="s">
        <v>234</v>
      </c>
      <c r="D290" s="21"/>
      <c r="E290" s="21"/>
      <c r="F290" s="21"/>
      <c r="G290" s="85">
        <v>2400000</v>
      </c>
      <c r="H290" s="89" t="s">
        <v>398</v>
      </c>
      <c r="J290" s="41"/>
      <c r="K290" s="41"/>
    </row>
    <row r="291" spans="1:11" x14ac:dyDescent="0.25">
      <c r="A291" s="13" t="s">
        <v>267</v>
      </c>
      <c r="B291" s="13" t="s">
        <v>4</v>
      </c>
      <c r="C291" s="14" t="s">
        <v>268</v>
      </c>
      <c r="D291" s="16">
        <v>0</v>
      </c>
      <c r="E291" s="16">
        <v>10000</v>
      </c>
      <c r="F291" s="16">
        <v>10000</v>
      </c>
      <c r="G291" s="84" t="s">
        <v>325</v>
      </c>
      <c r="H291" s="74"/>
      <c r="J291" s="41"/>
      <c r="K291" s="41"/>
    </row>
    <row r="292" spans="1:11" ht="24.75" x14ac:dyDescent="0.25">
      <c r="A292" s="18" t="s">
        <v>267</v>
      </c>
      <c r="B292" s="18" t="s">
        <v>179</v>
      </c>
      <c r="C292" s="19" t="s">
        <v>180</v>
      </c>
      <c r="D292" s="21">
        <v>0</v>
      </c>
      <c r="E292" s="21">
        <v>10000</v>
      </c>
      <c r="F292" s="21">
        <v>10000</v>
      </c>
      <c r="G292" s="85" t="s">
        <v>325</v>
      </c>
      <c r="H292" s="75"/>
      <c r="J292" s="41"/>
      <c r="K292" s="41"/>
    </row>
    <row r="293" spans="1:11" x14ac:dyDescent="0.25">
      <c r="A293" s="13" t="s">
        <v>114</v>
      </c>
      <c r="B293" s="13" t="s">
        <v>4</v>
      </c>
      <c r="C293" s="14" t="s">
        <v>115</v>
      </c>
      <c r="D293" s="16">
        <v>6515000</v>
      </c>
      <c r="E293" s="16">
        <v>6515000</v>
      </c>
      <c r="F293" s="16">
        <v>4417475.9800000004</v>
      </c>
      <c r="G293" s="88">
        <f>SUM(G294:G295)</f>
        <v>5730000</v>
      </c>
      <c r="H293" s="74"/>
      <c r="J293" s="41"/>
      <c r="K293" s="41"/>
    </row>
    <row r="294" spans="1:11" x14ac:dyDescent="0.25">
      <c r="A294" s="18" t="s">
        <v>114</v>
      </c>
      <c r="B294" s="18" t="s">
        <v>269</v>
      </c>
      <c r="C294" s="19" t="s">
        <v>270</v>
      </c>
      <c r="D294" s="21">
        <v>6400000</v>
      </c>
      <c r="E294" s="21">
        <v>6400000</v>
      </c>
      <c r="F294" s="21">
        <v>4324409.58</v>
      </c>
      <c r="G294" s="112">
        <v>5600000</v>
      </c>
      <c r="H294" s="75" t="s">
        <v>399</v>
      </c>
      <c r="J294" s="41"/>
      <c r="K294" s="41"/>
    </row>
    <row r="295" spans="1:11" x14ac:dyDescent="0.25">
      <c r="A295" s="18" t="s">
        <v>114</v>
      </c>
      <c r="B295" s="18" t="s">
        <v>227</v>
      </c>
      <c r="C295" s="19" t="s">
        <v>228</v>
      </c>
      <c r="D295" s="21">
        <v>115000</v>
      </c>
      <c r="E295" s="21">
        <v>115000</v>
      </c>
      <c r="F295" s="21">
        <v>93066.4</v>
      </c>
      <c r="G295" s="85">
        <v>130000</v>
      </c>
      <c r="H295" s="75"/>
      <c r="J295" s="41"/>
      <c r="K295" s="41"/>
    </row>
    <row r="296" spans="1:11" x14ac:dyDescent="0.25">
      <c r="A296" s="13" t="s">
        <v>271</v>
      </c>
      <c r="B296" s="13" t="s">
        <v>4</v>
      </c>
      <c r="C296" s="14" t="s">
        <v>272</v>
      </c>
      <c r="D296" s="16">
        <v>7200000</v>
      </c>
      <c r="E296" s="16">
        <v>9598730</v>
      </c>
      <c r="F296" s="16">
        <v>9443315</v>
      </c>
      <c r="G296" s="88">
        <f>SUM(G297:G298)</f>
        <v>9700000</v>
      </c>
      <c r="H296" s="74"/>
      <c r="J296" s="41"/>
      <c r="K296" s="41"/>
    </row>
    <row r="297" spans="1:11" x14ac:dyDescent="0.25">
      <c r="A297" s="18" t="s">
        <v>271</v>
      </c>
      <c r="B297" s="18" t="s">
        <v>257</v>
      </c>
      <c r="C297" s="19" t="s">
        <v>258</v>
      </c>
      <c r="D297" s="21">
        <v>2000000</v>
      </c>
      <c r="E297" s="21">
        <v>4000000</v>
      </c>
      <c r="F297" s="21">
        <v>3844585</v>
      </c>
      <c r="G297" s="85">
        <v>4000000</v>
      </c>
      <c r="H297" s="75" t="s">
        <v>367</v>
      </c>
      <c r="J297" s="41"/>
      <c r="K297" s="41"/>
    </row>
    <row r="298" spans="1:11" x14ac:dyDescent="0.25">
      <c r="A298" s="18" t="s">
        <v>271</v>
      </c>
      <c r="B298" s="18" t="s">
        <v>273</v>
      </c>
      <c r="C298" s="19" t="s">
        <v>274</v>
      </c>
      <c r="D298" s="21">
        <v>5200000</v>
      </c>
      <c r="E298" s="21">
        <v>5598730</v>
      </c>
      <c r="F298" s="21">
        <v>5598730</v>
      </c>
      <c r="G298" s="85">
        <v>5700000</v>
      </c>
      <c r="H298" s="75" t="s">
        <v>366</v>
      </c>
      <c r="J298" s="41"/>
      <c r="K298" s="41"/>
    </row>
    <row r="299" spans="1:11" x14ac:dyDescent="0.25">
      <c r="A299" s="13" t="s">
        <v>118</v>
      </c>
      <c r="B299" s="13" t="s">
        <v>4</v>
      </c>
      <c r="C299" s="14" t="s">
        <v>119</v>
      </c>
      <c r="D299" s="16">
        <v>0</v>
      </c>
      <c r="E299" s="16">
        <v>13779.15</v>
      </c>
      <c r="F299" s="16">
        <v>13779.15</v>
      </c>
      <c r="G299" s="88" t="s">
        <v>325</v>
      </c>
      <c r="H299" s="74"/>
    </row>
    <row r="300" spans="1:11" ht="15.75" thickBot="1" x14ac:dyDescent="0.3">
      <c r="A300" s="93" t="s">
        <v>118</v>
      </c>
      <c r="B300" s="94" t="s">
        <v>141</v>
      </c>
      <c r="C300" s="95" t="s">
        <v>142</v>
      </c>
      <c r="D300" s="96">
        <v>0</v>
      </c>
      <c r="E300" s="97">
        <v>13779.15</v>
      </c>
      <c r="F300" s="98">
        <v>13779.15</v>
      </c>
      <c r="G300" s="99" t="s">
        <v>325</v>
      </c>
      <c r="H300" s="100"/>
    </row>
    <row r="301" spans="1:11" ht="15.75" thickTop="1" x14ac:dyDescent="0.25">
      <c r="A301" s="38" t="s">
        <v>277</v>
      </c>
      <c r="B301" s="38" t="s">
        <v>4</v>
      </c>
      <c r="C301" s="39" t="s">
        <v>4</v>
      </c>
      <c r="D301" s="40">
        <v>237840784</v>
      </c>
      <c r="E301" s="40">
        <v>261930850.75</v>
      </c>
      <c r="F301" s="40">
        <f>F2+F6+F10+F12+F16+F21+F24+F32+F40+F43+F62+F68+F74+F79+F81+F90+F93+F103+F108+F122+F136+F138+F144+F146+F153+F155+F161+F165+F167+F174+F176+F179+F194+F196+F218+F220+F233+F241+F247+F291+F293+F296+F299</f>
        <v>167586728.66999999</v>
      </c>
      <c r="G301" s="86">
        <f>G2+G6+G12+G16+G21+G24+G32+G40+G43+G62+G68+G74+G79+G81+G90+G93+G103+G108+G122+G136+G138+G144+G146+G153+G155+G161+G165+G167+G174+G176+G179+G194+G196+G220+G233+G247+G293+G296</f>
        <v>273876614.88999999</v>
      </c>
      <c r="H301" s="76"/>
    </row>
    <row r="303" spans="1:11" x14ac:dyDescent="0.25">
      <c r="F303" s="41"/>
      <c r="G303" s="133">
        <f>'I. Rozpočtové příjmy'!G97-'II. Rozpočtové výdaje'!G301</f>
        <v>0</v>
      </c>
    </row>
    <row r="304" spans="1:11" x14ac:dyDescent="0.25">
      <c r="F304" s="41"/>
    </row>
  </sheetData>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43BAD-C67E-4253-BBA6-1E483339CB6C}">
  <dimension ref="A1:C11"/>
  <sheetViews>
    <sheetView workbookViewId="0">
      <selection activeCell="B37" sqref="B37"/>
    </sheetView>
  </sheetViews>
  <sheetFormatPr defaultColWidth="9.140625" defaultRowHeight="15" x14ac:dyDescent="0.25"/>
  <cols>
    <col min="1" max="1" width="11.140625" style="46" customWidth="1"/>
    <col min="2" max="2" width="40.28515625" style="46" customWidth="1"/>
    <col min="3" max="3" width="15.42578125" style="46" customWidth="1"/>
    <col min="4" max="16384" width="9.140625" style="46"/>
  </cols>
  <sheetData>
    <row r="1" spans="1:3" ht="26.25" thickBot="1" x14ac:dyDescent="0.3">
      <c r="A1" s="43" t="s">
        <v>281</v>
      </c>
      <c r="B1" s="44" t="s">
        <v>282</v>
      </c>
      <c r="C1" s="45" t="s">
        <v>422</v>
      </c>
    </row>
    <row r="2" spans="1:3" ht="15.75" thickTop="1" x14ac:dyDescent="0.25">
      <c r="A2" s="47" t="s">
        <v>283</v>
      </c>
      <c r="B2" s="48" t="s">
        <v>284</v>
      </c>
      <c r="C2" s="49">
        <v>25353302.620000001</v>
      </c>
    </row>
    <row r="3" spans="1:3" x14ac:dyDescent="0.25">
      <c r="A3" s="47" t="s">
        <v>285</v>
      </c>
      <c r="B3" s="47" t="s">
        <v>286</v>
      </c>
      <c r="C3" s="50">
        <v>237515</v>
      </c>
    </row>
    <row r="4" spans="1:3" x14ac:dyDescent="0.25">
      <c r="A4" s="47" t="s">
        <v>287</v>
      </c>
      <c r="B4" s="47" t="s">
        <v>288</v>
      </c>
      <c r="C4" s="50">
        <v>385.8</v>
      </c>
    </row>
    <row r="5" spans="1:3" x14ac:dyDescent="0.25">
      <c r="A5" s="47" t="s">
        <v>289</v>
      </c>
      <c r="B5" s="47" t="s">
        <v>290</v>
      </c>
      <c r="C5" s="51">
        <v>0</v>
      </c>
    </row>
    <row r="6" spans="1:3" x14ac:dyDescent="0.25">
      <c r="A6" s="47" t="s">
        <v>291</v>
      </c>
      <c r="B6" s="47" t="s">
        <v>292</v>
      </c>
      <c r="C6" s="50">
        <v>105000</v>
      </c>
    </row>
    <row r="7" spans="1:3" x14ac:dyDescent="0.25">
      <c r="A7" s="52" t="s">
        <v>293</v>
      </c>
      <c r="B7" s="47" t="s">
        <v>294</v>
      </c>
      <c r="C7" s="50">
        <v>2133905.2200000002</v>
      </c>
    </row>
    <row r="8" spans="1:3" x14ac:dyDescent="0.25">
      <c r="A8" s="52" t="s">
        <v>295</v>
      </c>
      <c r="B8" s="47" t="s">
        <v>296</v>
      </c>
      <c r="C8" s="50">
        <v>102051.66</v>
      </c>
    </row>
    <row r="9" spans="1:3" x14ac:dyDescent="0.25">
      <c r="A9" s="47" t="s">
        <v>297</v>
      </c>
      <c r="B9" s="47" t="s">
        <v>298</v>
      </c>
      <c r="C9" s="50">
        <v>12514187.130000001</v>
      </c>
    </row>
    <row r="10" spans="1:3" ht="15.75" thickBot="1" x14ac:dyDescent="0.3">
      <c r="A10" s="53" t="s">
        <v>299</v>
      </c>
      <c r="B10" s="53" t="s">
        <v>300</v>
      </c>
      <c r="C10" s="54">
        <v>151816.26999999999</v>
      </c>
    </row>
    <row r="11" spans="1:3" ht="15.75" thickTop="1" x14ac:dyDescent="0.25">
      <c r="A11" s="55" t="s">
        <v>280</v>
      </c>
      <c r="B11" s="55"/>
      <c r="C11" s="56">
        <f>SUM(C2:C10)</f>
        <v>40598163.700000003</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75C4D-BF26-4AE4-ADBE-79276AC1769D}">
  <dimension ref="A2:J32"/>
  <sheetViews>
    <sheetView topLeftCell="A13" workbookViewId="0">
      <selection activeCell="F37" sqref="F37"/>
    </sheetView>
  </sheetViews>
  <sheetFormatPr defaultColWidth="9.140625" defaultRowHeight="15" x14ac:dyDescent="0.25"/>
  <cols>
    <col min="1" max="3" width="9.140625" style="46"/>
    <col min="4" max="4" width="23.42578125" style="46" customWidth="1"/>
    <col min="5" max="5" width="20" style="46" customWidth="1"/>
    <col min="6" max="6" width="47.28515625" style="46" customWidth="1"/>
    <col min="7" max="7" width="9.140625" style="46"/>
    <col min="8" max="8" width="20.28515625" style="46" customWidth="1"/>
    <col min="9" max="9" width="9.140625" style="46"/>
    <col min="10" max="10" width="10" style="46" bestFit="1" customWidth="1"/>
    <col min="11" max="16384" width="9.140625" style="46"/>
  </cols>
  <sheetData>
    <row r="2" spans="1:6" x14ac:dyDescent="0.25">
      <c r="A2" s="124" t="s">
        <v>401</v>
      </c>
      <c r="B2" s="124"/>
      <c r="C2" s="124"/>
      <c r="D2" s="124"/>
      <c r="E2" s="124"/>
      <c r="F2" s="124"/>
    </row>
    <row r="3" spans="1:6" ht="15.75" thickBot="1" x14ac:dyDescent="0.3">
      <c r="A3" s="57" t="s">
        <v>301</v>
      </c>
      <c r="B3" s="58" t="s">
        <v>302</v>
      </c>
      <c r="C3" s="58" t="s">
        <v>303</v>
      </c>
      <c r="D3" s="59" t="s">
        <v>304</v>
      </c>
      <c r="E3" s="59" t="s">
        <v>305</v>
      </c>
      <c r="F3" s="60" t="s">
        <v>306</v>
      </c>
    </row>
    <row r="4" spans="1:6" ht="15.75" thickTop="1" x14ac:dyDescent="0.25">
      <c r="A4" s="47" t="s">
        <v>263</v>
      </c>
      <c r="B4" s="47" t="s">
        <v>110</v>
      </c>
      <c r="C4" s="47" t="s">
        <v>4</v>
      </c>
      <c r="D4" s="61">
        <f>3364533-150000-75000-220000-100000+55000</f>
        <v>2874533</v>
      </c>
      <c r="E4" s="61">
        <f>E12-(SUM(E5:E11))</f>
        <v>6118132.5399999991</v>
      </c>
      <c r="F4" s="62" t="s">
        <v>307</v>
      </c>
    </row>
    <row r="5" spans="1:6" x14ac:dyDescent="0.25">
      <c r="A5" s="47" t="s">
        <v>263</v>
      </c>
      <c r="B5" s="47" t="s">
        <v>110</v>
      </c>
      <c r="C5" s="47">
        <v>170</v>
      </c>
      <c r="D5" s="61">
        <f>7320000+75000</f>
        <v>7395000</v>
      </c>
      <c r="E5" s="61">
        <v>7395000</v>
      </c>
      <c r="F5" s="62" t="s">
        <v>308</v>
      </c>
    </row>
    <row r="6" spans="1:6" x14ac:dyDescent="0.25">
      <c r="A6" s="47" t="s">
        <v>263</v>
      </c>
      <c r="B6" s="47" t="s">
        <v>110</v>
      </c>
      <c r="C6" s="47">
        <v>171</v>
      </c>
      <c r="D6" s="61">
        <f>5000000</f>
        <v>5000000</v>
      </c>
      <c r="E6" s="61">
        <v>5000000</v>
      </c>
      <c r="F6" s="62" t="s">
        <v>309</v>
      </c>
    </row>
    <row r="7" spans="1:6" x14ac:dyDescent="0.25">
      <c r="A7" s="47" t="s">
        <v>263</v>
      </c>
      <c r="B7" s="47" t="s">
        <v>110</v>
      </c>
      <c r="C7" s="47">
        <v>172</v>
      </c>
      <c r="D7" s="61">
        <f>810000</f>
        <v>810000</v>
      </c>
      <c r="E7" s="61">
        <v>810000</v>
      </c>
      <c r="F7" s="47" t="s">
        <v>310</v>
      </c>
    </row>
    <row r="8" spans="1:6" x14ac:dyDescent="0.25">
      <c r="A8" s="47" t="s">
        <v>263</v>
      </c>
      <c r="B8" s="47" t="s">
        <v>110</v>
      </c>
      <c r="C8" s="47">
        <v>173</v>
      </c>
      <c r="D8" s="61">
        <f>500000</f>
        <v>500000</v>
      </c>
      <c r="E8" s="61">
        <v>250000</v>
      </c>
      <c r="F8" s="47" t="s">
        <v>311</v>
      </c>
    </row>
    <row r="9" spans="1:6" x14ac:dyDescent="0.25">
      <c r="A9" s="47" t="s">
        <v>263</v>
      </c>
      <c r="B9" s="47" t="s">
        <v>110</v>
      </c>
      <c r="C9" s="47">
        <v>174</v>
      </c>
      <c r="D9" s="61">
        <f>200000</f>
        <v>200000</v>
      </c>
      <c r="E9" s="61">
        <v>200000</v>
      </c>
      <c r="F9" s="47" t="s">
        <v>312</v>
      </c>
    </row>
    <row r="10" spans="1:6" ht="26.25" x14ac:dyDescent="0.25">
      <c r="A10" s="47" t="s">
        <v>263</v>
      </c>
      <c r="B10" s="47" t="s">
        <v>110</v>
      </c>
      <c r="C10" s="47">
        <v>175</v>
      </c>
      <c r="D10" s="61">
        <f>500000</f>
        <v>500000</v>
      </c>
      <c r="E10" s="61">
        <v>500000</v>
      </c>
      <c r="F10" s="63" t="s">
        <v>313</v>
      </c>
    </row>
    <row r="11" spans="1:6" ht="15.75" thickBot="1" x14ac:dyDescent="0.3">
      <c r="A11" s="47" t="s">
        <v>263</v>
      </c>
      <c r="B11" s="47" t="s">
        <v>110</v>
      </c>
      <c r="C11" s="47">
        <v>176</v>
      </c>
      <c r="D11" s="64">
        <f>10000</f>
        <v>10000</v>
      </c>
      <c r="E11" s="64">
        <v>10000</v>
      </c>
      <c r="F11" s="47" t="s">
        <v>314</v>
      </c>
    </row>
    <row r="12" spans="1:6" ht="15.75" thickTop="1" x14ac:dyDescent="0.25">
      <c r="A12" s="65"/>
      <c r="B12" s="66"/>
      <c r="C12" s="66"/>
      <c r="D12" s="67">
        <f>SUM(D4:D11)</f>
        <v>17289533</v>
      </c>
      <c r="E12" s="67">
        <v>20283132.539999999</v>
      </c>
      <c r="F12" s="66"/>
    </row>
    <row r="16" spans="1:6" x14ac:dyDescent="0.25">
      <c r="A16" s="127" t="s">
        <v>402</v>
      </c>
      <c r="B16" s="127"/>
      <c r="C16" s="127"/>
      <c r="D16" s="127"/>
      <c r="E16" s="127"/>
      <c r="F16" s="127"/>
    </row>
    <row r="17" spans="1:10" ht="26.25" customHeight="1" thickBot="1" x14ac:dyDescent="0.3">
      <c r="A17" s="57" t="s">
        <v>301</v>
      </c>
      <c r="B17" s="58" t="s">
        <v>302</v>
      </c>
      <c r="C17" s="58" t="s">
        <v>303</v>
      </c>
      <c r="D17" s="59" t="s">
        <v>305</v>
      </c>
      <c r="E17" s="125" t="s">
        <v>306</v>
      </c>
      <c r="F17" s="126"/>
    </row>
    <row r="18" spans="1:10" ht="15.75" thickTop="1" x14ac:dyDescent="0.25">
      <c r="A18" s="52" t="s">
        <v>263</v>
      </c>
      <c r="B18" s="52" t="s">
        <v>110</v>
      </c>
      <c r="C18" s="47" t="s">
        <v>4</v>
      </c>
      <c r="D18" s="108">
        <f>1867456.13+200607</f>
        <v>2068063.13</v>
      </c>
      <c r="E18" s="118" t="s">
        <v>307</v>
      </c>
      <c r="F18" s="119"/>
      <c r="H18"/>
      <c r="I18"/>
      <c r="J18"/>
    </row>
    <row r="19" spans="1:10" x14ac:dyDescent="0.25">
      <c r="A19" s="47" t="s">
        <v>263</v>
      </c>
      <c r="B19" s="47" t="s">
        <v>110</v>
      </c>
      <c r="C19" s="47"/>
      <c r="D19" s="108">
        <v>10000000</v>
      </c>
      <c r="E19" s="118" t="s">
        <v>308</v>
      </c>
      <c r="F19" s="119"/>
      <c r="H19"/>
      <c r="I19"/>
      <c r="J19"/>
    </row>
    <row r="20" spans="1:10" x14ac:dyDescent="0.25">
      <c r="A20" s="52">
        <v>5901</v>
      </c>
      <c r="B20" s="52">
        <v>6171</v>
      </c>
      <c r="C20" s="47"/>
      <c r="D20" s="108">
        <v>400000</v>
      </c>
      <c r="E20" s="115" t="s">
        <v>482</v>
      </c>
      <c r="F20" s="52"/>
      <c r="H20"/>
      <c r="I20"/>
      <c r="J20"/>
    </row>
    <row r="21" spans="1:10" x14ac:dyDescent="0.25">
      <c r="A21" s="52">
        <v>5901</v>
      </c>
      <c r="B21" s="52">
        <v>6171</v>
      </c>
      <c r="C21" s="47"/>
      <c r="D21" s="108">
        <v>250000</v>
      </c>
      <c r="E21" s="118" t="s">
        <v>466</v>
      </c>
      <c r="F21" s="119"/>
      <c r="H21"/>
      <c r="I21"/>
      <c r="J21"/>
    </row>
    <row r="22" spans="1:10" ht="32.25" customHeight="1" x14ac:dyDescent="0.25">
      <c r="A22" s="52">
        <v>5901</v>
      </c>
      <c r="B22" s="52">
        <v>6171</v>
      </c>
      <c r="C22" s="47"/>
      <c r="D22" s="108">
        <v>200000</v>
      </c>
      <c r="E22" s="128" t="s">
        <v>408</v>
      </c>
      <c r="F22" s="129"/>
      <c r="H22"/>
      <c r="I22"/>
      <c r="J22"/>
    </row>
    <row r="23" spans="1:10" x14ac:dyDescent="0.25">
      <c r="A23" s="47" t="s">
        <v>263</v>
      </c>
      <c r="B23" s="47" t="s">
        <v>110</v>
      </c>
      <c r="C23" s="47"/>
      <c r="D23" s="108">
        <v>900000</v>
      </c>
      <c r="E23" s="118" t="s">
        <v>488</v>
      </c>
      <c r="F23" s="119"/>
      <c r="H23"/>
      <c r="I23"/>
      <c r="J23"/>
    </row>
    <row r="24" spans="1:10" x14ac:dyDescent="0.25">
      <c r="A24" s="47" t="s">
        <v>263</v>
      </c>
      <c r="B24" s="47" t="s">
        <v>110</v>
      </c>
      <c r="C24" s="47"/>
      <c r="D24" s="61">
        <v>2000000</v>
      </c>
      <c r="E24" s="118" t="s">
        <v>435</v>
      </c>
      <c r="F24" s="119"/>
      <c r="H24"/>
      <c r="I24"/>
      <c r="J24"/>
    </row>
    <row r="25" spans="1:10" x14ac:dyDescent="0.25">
      <c r="A25" s="47" t="s">
        <v>263</v>
      </c>
      <c r="B25" s="47" t="s">
        <v>110</v>
      </c>
      <c r="C25" s="47"/>
      <c r="D25" s="61">
        <v>1500000</v>
      </c>
      <c r="E25" s="118" t="s">
        <v>436</v>
      </c>
      <c r="F25" s="119"/>
      <c r="H25"/>
      <c r="I25"/>
      <c r="J25"/>
    </row>
    <row r="26" spans="1:10" x14ac:dyDescent="0.25">
      <c r="A26" s="47" t="s">
        <v>263</v>
      </c>
      <c r="B26" s="47" t="s">
        <v>110</v>
      </c>
      <c r="C26" s="47"/>
      <c r="D26" s="108">
        <v>2100000</v>
      </c>
      <c r="E26" s="118" t="s">
        <v>447</v>
      </c>
      <c r="F26" s="119"/>
      <c r="H26"/>
      <c r="I26"/>
      <c r="J26"/>
    </row>
    <row r="27" spans="1:10" x14ac:dyDescent="0.25">
      <c r="A27" s="47" t="s">
        <v>263</v>
      </c>
      <c r="B27" s="47" t="s">
        <v>110</v>
      </c>
      <c r="C27" s="47"/>
      <c r="D27" s="108">
        <v>1400000</v>
      </c>
      <c r="E27" s="118" t="s">
        <v>403</v>
      </c>
      <c r="F27" s="119"/>
      <c r="H27"/>
      <c r="I27"/>
      <c r="J27"/>
    </row>
    <row r="28" spans="1:10" x14ac:dyDescent="0.25">
      <c r="A28" s="47" t="s">
        <v>263</v>
      </c>
      <c r="B28" s="47" t="s">
        <v>110</v>
      </c>
      <c r="C28" s="47"/>
      <c r="D28" s="108">
        <v>200000</v>
      </c>
      <c r="E28" s="105" t="s">
        <v>459</v>
      </c>
      <c r="F28" s="52"/>
      <c r="H28"/>
      <c r="I28"/>
      <c r="J28"/>
    </row>
    <row r="29" spans="1:10" ht="15.75" thickBot="1" x14ac:dyDescent="0.3">
      <c r="A29" s="47" t="s">
        <v>263</v>
      </c>
      <c r="B29" s="47" t="s">
        <v>110</v>
      </c>
      <c r="C29" s="47"/>
      <c r="D29" s="109">
        <v>300000</v>
      </c>
      <c r="E29" s="120" t="s">
        <v>404</v>
      </c>
      <c r="F29" s="121"/>
      <c r="H29"/>
      <c r="I29"/>
      <c r="J29"/>
    </row>
    <row r="30" spans="1:10" ht="15.75" thickTop="1" x14ac:dyDescent="0.25">
      <c r="A30" s="65"/>
      <c r="B30" s="66"/>
      <c r="C30" s="66"/>
      <c r="D30" s="67">
        <f>SUM(D18:D29)</f>
        <v>21318063.129999999</v>
      </c>
      <c r="E30" s="122"/>
      <c r="F30" s="123"/>
      <c r="H30"/>
      <c r="I30"/>
      <c r="J30"/>
    </row>
    <row r="31" spans="1:10" x14ac:dyDescent="0.25">
      <c r="H31"/>
      <c r="I31"/>
      <c r="J31"/>
    </row>
    <row r="32" spans="1:10" x14ac:dyDescent="0.25">
      <c r="H32"/>
      <c r="I32"/>
      <c r="J32"/>
    </row>
  </sheetData>
  <mergeCells count="14">
    <mergeCell ref="A2:F2"/>
    <mergeCell ref="E17:F17"/>
    <mergeCell ref="E18:F18"/>
    <mergeCell ref="E23:F23"/>
    <mergeCell ref="A16:F16"/>
    <mergeCell ref="E21:F21"/>
    <mergeCell ref="E22:F22"/>
    <mergeCell ref="E19:F19"/>
    <mergeCell ref="E24:F24"/>
    <mergeCell ref="E25:F25"/>
    <mergeCell ref="E29:F29"/>
    <mergeCell ref="E27:F27"/>
    <mergeCell ref="E30:F30"/>
    <mergeCell ref="E26:F26"/>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CE45D-9CC7-4BA8-B3B2-FC44D28B21E3}">
  <dimension ref="A1:D4"/>
  <sheetViews>
    <sheetView workbookViewId="0">
      <selection activeCell="D12" sqref="D12"/>
    </sheetView>
  </sheetViews>
  <sheetFormatPr defaultColWidth="9.140625" defaultRowHeight="15" x14ac:dyDescent="0.25"/>
  <cols>
    <col min="1" max="1" width="9.140625" style="46"/>
    <col min="2" max="2" width="37.5703125" style="46" customWidth="1"/>
    <col min="3" max="3" width="21" style="46" customWidth="1"/>
    <col min="4" max="4" width="27.28515625" style="46" customWidth="1"/>
    <col min="5" max="16384" width="9.140625" style="46"/>
  </cols>
  <sheetData>
    <row r="1" spans="1:4" ht="15.75" thickBot="1" x14ac:dyDescent="0.3">
      <c r="A1" s="43" t="s">
        <v>281</v>
      </c>
      <c r="B1" s="44" t="s">
        <v>282</v>
      </c>
      <c r="C1" s="68" t="s">
        <v>315</v>
      </c>
      <c r="D1" s="68" t="s">
        <v>422</v>
      </c>
    </row>
    <row r="2" spans="1:4" ht="15.75" thickTop="1" x14ac:dyDescent="0.25">
      <c r="A2" s="47" t="s">
        <v>316</v>
      </c>
      <c r="B2" s="48" t="s">
        <v>317</v>
      </c>
      <c r="C2" s="69">
        <v>833333.4</v>
      </c>
      <c r="D2" s="69">
        <v>-69044546.700000003</v>
      </c>
    </row>
    <row r="3" spans="1:4" ht="15.75" thickBot="1" x14ac:dyDescent="0.3">
      <c r="A3" s="53" t="s">
        <v>318</v>
      </c>
      <c r="B3" s="53" t="s">
        <v>319</v>
      </c>
      <c r="C3" s="70">
        <v>373083.4</v>
      </c>
      <c r="D3" s="70">
        <v>-31367168.32</v>
      </c>
    </row>
    <row r="4" spans="1:4" ht="15.75" thickTop="1" x14ac:dyDescent="0.25">
      <c r="A4" s="55"/>
      <c r="B4" s="55"/>
      <c r="C4" s="71">
        <f>SUM(C2:C3)</f>
        <v>1206416.8</v>
      </c>
      <c r="D4" s="71">
        <f>SUM(D2:D3)</f>
        <v>-100411715.02000001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I. Rozpočtové příjmy</vt:lpstr>
      <vt:lpstr>II. Rozpočtové výdaje</vt:lpstr>
      <vt:lpstr>III. Stavy bankovních účtů</vt:lpstr>
      <vt:lpstr>IV. Rezerva</vt:lpstr>
      <vt:lpstr>V. Stavy úvěrových účtů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Skálová Markéta</cp:lastModifiedBy>
  <cp:lastPrinted>2024-01-02T10:04:36Z</cp:lastPrinted>
  <dcterms:created xsi:type="dcterms:W3CDTF">2023-10-06T08:51:13Z</dcterms:created>
  <dcterms:modified xsi:type="dcterms:W3CDTF">2024-01-02T14:17:00Z</dcterms:modified>
</cp:coreProperties>
</file>